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19440" windowHeight="7755" tabRatio="690" activeTab="8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11">Diciembre!$A$1:$M$50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Diciembre!$L$4:$L$8</definedName>
    <definedName name="TablaFechasImportantes" localSheetId="1">Febrero!$L$4:$L$8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14" l="1"/>
  <c r="D4" i="14"/>
  <c r="E4" i="14"/>
  <c r="F4" i="14"/>
  <c r="G4" i="14"/>
  <c r="H4" i="14"/>
  <c r="I4" i="14"/>
  <c r="C5" i="14"/>
  <c r="D5" i="14"/>
  <c r="E5" i="14"/>
  <c r="F5" i="14"/>
  <c r="G5" i="14"/>
  <c r="H5" i="14"/>
  <c r="I5" i="14"/>
  <c r="C6" i="14"/>
  <c r="D6" i="14"/>
  <c r="E6" i="14"/>
  <c r="F6" i="14"/>
  <c r="G6" i="14"/>
  <c r="H6" i="14"/>
  <c r="I6" i="14"/>
  <c r="C7" i="14"/>
  <c r="D7" i="14"/>
  <c r="E7" i="14"/>
  <c r="F7" i="14"/>
  <c r="G7" i="14"/>
  <c r="H7" i="14"/>
  <c r="I7" i="14"/>
  <c r="C8" i="14"/>
  <c r="D8" i="14"/>
  <c r="E8" i="14"/>
  <c r="F8" i="14"/>
  <c r="G8" i="14"/>
  <c r="H8" i="14"/>
  <c r="I8" i="14"/>
  <c r="C9" i="14"/>
  <c r="D9" i="14"/>
  <c r="E9" i="14"/>
  <c r="F9" i="14"/>
  <c r="G9" i="14"/>
  <c r="H9" i="14"/>
  <c r="I9" i="14"/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<sst xmlns="http://schemas.openxmlformats.org/spreadsheetml/2006/main" count="435" uniqueCount="66">
  <si>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</si>
  <si>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</si>
  <si>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</si>
  <si>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</si>
  <si>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</si>
  <si>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</si>
  <si>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</si>
  <si>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</si>
  <si>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</si>
  <si>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</si>
  <si>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</si>
  <si>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</si>
  <si>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</si>
  <si>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</si>
  <si>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</si>
  <si>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</si>
  <si>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</si>
  <si>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</si>
  <si>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</si>
  <si>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</si>
  <si>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</si>
  <si>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</si>
  <si>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</si>
  <si>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</si>
  <si>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</si>
  <si>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</si>
  <si>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PLATICA CON ENCARGADA DE ENLACE CON LA CONGREGACION MARIANA TRINITARIA PARA RETOMAR TRABAJOS.</t>
  </si>
  <si>
    <t>ENTREGA DE INFORMACION A ENCARGADA DE ENLACE CON LA CONGREGACION MARIANA TRINITARIA</t>
  </si>
  <si>
    <t>ENVIO DE INFORMACION PARA ACREDITACION ANTE CMT</t>
  </si>
  <si>
    <t>ACREDITACION ANTE CMT COMO MOTIVADOR</t>
  </si>
  <si>
    <t>ENTREGA RECEPCION DE LA DIRECCION DE PARTICIPCION CIUDADANA</t>
  </si>
  <si>
    <t>SE BRINDO INFORMACION A 2 CIUDADANOS SOBRE LOS PRECIOS DE CEMENTO Y CALENTADORES SOLARES CON CMT</t>
  </si>
  <si>
    <t>GUARDIAS COVID-19</t>
  </si>
  <si>
    <t>SE BRINDO INFORMACION A CIUDADANOS SOBRE PRECIO DE LAMINAS Y ALAMBRE DE PUAS</t>
  </si>
  <si>
    <t>ENTREGA DE 10 LAMINAS R-72</t>
  </si>
  <si>
    <t>ENTREGA DE 5 ROLLOS DE ALAMBRE PUAS</t>
  </si>
  <si>
    <t>RECEPCION DE PAGO DE 34 LAMINAS R-72</t>
  </si>
  <si>
    <t>SE BRINDO INFORMACION A 1 CIUDADANO SOBRE PRECIO DE TINACOS Y CALENTADORES SOLAS</t>
  </si>
  <si>
    <t>SE RECIBIO PAGO DE 5 ROLLOS DE ALAMBRE DE PUAS Y 10 LAMINAS R-72</t>
  </si>
  <si>
    <t>SE ENTREGARON 10 LAMINAS R-72 Y 8 ROLLOS DE ALAMBRE DE PUAS</t>
  </si>
  <si>
    <t>SE ENTREGARON 6 ROLLOS DE ALAMBRE DE PUAS Y 5 LAMINAS R-72</t>
  </si>
  <si>
    <t>ENTREGA DE 8 ROLLOS DE ALAMBRE PUAS</t>
  </si>
  <si>
    <t>ENTREGA DE 380 PAQUETES ECOLOGICOS EN COORDINACIÓN CON FUNADACION "CENTRO DE VIDA"</t>
  </si>
  <si>
    <t>CON APOYO DE LA DIRECCION DE ECOLOGIA SE ENTREGARON PAQUETES ECOLOGICOS EN LA DELEGACION DE QUILA EL GRANDE</t>
  </si>
  <si>
    <t>ENTREGA DE 15 LAMINAS R-72</t>
  </si>
  <si>
    <t>SE BRINDO INFORMACION A 2 CIUDADANO SOBRE PRECIO DE TINACOS Y CALENTADORES SOLAS</t>
  </si>
  <si>
    <t>DIA INHABIL</t>
  </si>
  <si>
    <t>SE BRINDO INFORMACION A 3 CIUDADANOS SOBRE LOS PRECIOS DE CEMENTO Y CALENTADORES SOLARES CON CMT</t>
  </si>
  <si>
    <t>SE BRINDO INFORMACION A 4 CIUDADANOS SOBRE LOS PRECIOS DE CEMENTO Y CALENTADORES SOLARES CON CMT</t>
  </si>
  <si>
    <t>SE ENTREGARON 10 ROLLOS DE ALAMBRE DE PUAS Y 5 LAMINAS R-72</t>
  </si>
  <si>
    <t>PREPARACION DE3 ENTREGA-RECEPCION</t>
  </si>
  <si>
    <t>CERRADO POR COVID-19</t>
  </si>
  <si>
    <t>ENTREGA DE 2 ROLLOS DE ALAMBRE PUAS</t>
  </si>
  <si>
    <t>ENTREGA DE 10 ROLLOS DE ALAMBRE PUAS</t>
  </si>
  <si>
    <t>ENTREGA DE 3 ROLLOS DE ALAMBRE DE PUAS</t>
  </si>
  <si>
    <t>ENTREGA DE 4 ROLLOS DE ALAMBRE DE PUAS</t>
  </si>
  <si>
    <t>ENTREGA DE 7 LAMINAS R-72</t>
  </si>
  <si>
    <t>ENTREGA DE 12 LAMINAS R-72</t>
  </si>
  <si>
    <t>ENTREGA DE 7 ROLLOS DE ALAMBRE DE PUAS</t>
  </si>
  <si>
    <t>ENTREGA DE 2 LAMINAS R-72</t>
  </si>
  <si>
    <t>ENTREGA DE 8 ROLLOS DE ALAMBRE DE PUAS</t>
  </si>
  <si>
    <t>ENTREGA DE 6 LAMINAS R-72</t>
  </si>
  <si>
    <t>RECEPCIO DE 54 ROLLOS DE ALAMBRE DE PUAS</t>
  </si>
  <si>
    <t>ENTREGA DE 12 ROLLOS DE ALAMBRE DE PUAS</t>
  </si>
  <si>
    <t>RECEPCION DE 50 LAMINAS R-72</t>
  </si>
  <si>
    <t>ENTREGA DE 10 ROLLOS ALAMBRE DE PUAS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</si>
</sst>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7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7"/>
      <color theme="6"/>
      <name val="Arial"/>
      <family val="2"/>
      <scheme val="major"/>
    </font>
    <font>
      <b/>
      <sz val="17"/>
      <color theme="6"/>
      <name val="Arial"/>
      <family val="4"/>
      <scheme val="minor"/>
    </font>
    <font>
      <b/>
      <sz val="12"/>
      <color theme="6"/>
      <name val="Arial"/>
      <family val="2"/>
      <scheme val="major"/>
    </font>
    <font>
      <b/>
      <sz val="24"/>
      <color theme="6"/>
      <name val="Arial"/>
      <family val="2"/>
      <scheme val="major"/>
    </font>
    <font>
      <b/>
      <sz val="12"/>
      <color theme="6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04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4" fillId="5" borderId="21" xfId="0" applyFont="1" applyFill="1" applyBorder="1" applyAlignment="1">
      <alignment horizontal="left" vertical="top" indent="1"/>
    </xf>
    <xf numFmtId="0" fontId="14" fillId="5" borderId="11" xfId="0" applyFont="1" applyFill="1" applyBorder="1" applyAlignment="1">
      <alignment horizontal="left" vertical="top" indent="1"/>
    </xf>
    <xf numFmtId="49" fontId="13" fillId="5" borderId="8" xfId="0" applyNumberFormat="1" applyFont="1" applyFill="1" applyBorder="1" applyAlignment="1">
      <alignment horizontal="left" indent="1"/>
    </xf>
    <xf numFmtId="49" fontId="13" fillId="5" borderId="24" xfId="0" applyNumberFormat="1" applyFont="1" applyFill="1" applyBorder="1" applyAlignment="1">
      <alignment horizontal="left" indent="1"/>
    </xf>
    <xf numFmtId="164" fontId="1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0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2" fillId="6" borderId="8" xfId="0" applyFont="1" applyFill="1" applyBorder="1" applyAlignment="1">
      <alignment horizontal="left" indent="1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25" fillId="0" borderId="39" xfId="0" applyFont="1" applyFill="1" applyBorder="1" applyAlignment="1">
      <alignment horizontal="center" vertical="center" textRotation="90"/>
    </xf>
    <xf numFmtId="0" fontId="25" fillId="0" borderId="7" xfId="0" applyFont="1" applyFill="1" applyBorder="1" applyAlignment="1">
      <alignment horizontal="center" vertical="center" textRotation="90"/>
    </xf>
    <xf numFmtId="0" fontId="25" fillId="0" borderId="42" xfId="0" applyFont="1" applyFill="1" applyBorder="1" applyAlignment="1">
      <alignment horizontal="center" vertical="center" textRotation="90"/>
    </xf>
    <xf numFmtId="0" fontId="26" fillId="0" borderId="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17" fillId="0" borderId="3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164" fontId="18" fillId="0" borderId="5" xfId="0" applyNumberFormat="1" applyFont="1" applyFill="1" applyBorder="1" applyAlignment="1">
      <alignment horizontal="left"/>
    </xf>
    <xf numFmtId="164" fontId="18" fillId="0" borderId="20" xfId="0" applyNumberFormat="1" applyFont="1" applyFill="1" applyBorder="1" applyAlignment="1">
      <alignment horizontal="left"/>
    </xf>
    <xf numFmtId="49" fontId="13" fillId="5" borderId="10" xfId="0" applyNumberFormat="1" applyFont="1" applyFill="1" applyBorder="1" applyAlignment="1">
      <alignment horizontal="left" indent="1"/>
    </xf>
    <xf numFmtId="49" fontId="13" fillId="5" borderId="6" xfId="0" applyNumberFormat="1" applyFont="1" applyFill="1" applyBorder="1" applyAlignment="1">
      <alignment horizontal="left" indent="1"/>
    </xf>
    <xf numFmtId="0" fontId="14" fillId="5" borderId="22" xfId="0" applyFont="1" applyFill="1" applyBorder="1" applyAlignment="1">
      <alignment horizontal="left" vertical="top" indent="1"/>
    </xf>
    <xf numFmtId="0" fontId="14" fillId="5" borderId="23" xfId="0" applyFont="1" applyFill="1" applyBorder="1" applyAlignment="1">
      <alignment horizontal="left" vertical="top" indent="1"/>
    </xf>
    <xf numFmtId="0" fontId="14" fillId="5" borderId="12" xfId="0" applyFont="1" applyFill="1" applyBorder="1" applyAlignment="1">
      <alignment horizontal="left" vertical="top" indent="1"/>
    </xf>
    <xf numFmtId="0" fontId="14" fillId="5" borderId="13" xfId="0" applyFont="1" applyFill="1" applyBorder="1" applyAlignment="1">
      <alignment horizontal="left" vertical="top" indent="1"/>
    </xf>
    <xf numFmtId="49" fontId="16" fillId="5" borderId="10" xfId="0" applyNumberFormat="1" applyFont="1" applyFill="1" applyBorder="1" applyAlignment="1">
      <alignment horizontal="left" indent="1"/>
    </xf>
    <xf numFmtId="49" fontId="16" fillId="5" borderId="16" xfId="0" applyNumberFormat="1" applyFont="1" applyFill="1" applyBorder="1" applyAlignment="1">
      <alignment horizontal="left" indent="1"/>
    </xf>
    <xf numFmtId="0" fontId="14" fillId="5" borderId="27" xfId="0" applyFont="1" applyFill="1" applyBorder="1" applyAlignment="1">
      <alignment horizontal="left" vertical="top" indent="1"/>
    </xf>
    <xf numFmtId="49" fontId="13" fillId="5" borderId="10" xfId="0" applyNumberFormat="1" applyFont="1" applyFill="1" applyBorder="1" applyAlignment="1">
      <alignment horizontal="left" vertical="center" indent="1"/>
    </xf>
    <xf numFmtId="49" fontId="13" fillId="5" borderId="16" xfId="0" applyNumberFormat="1" applyFont="1" applyFill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left" vertical="top" indent="1"/>
    </xf>
    <xf numFmtId="164" fontId="14" fillId="5" borderId="15" xfId="0" applyNumberFormat="1" applyFont="1" applyFill="1" applyBorder="1" applyAlignment="1">
      <alignment horizontal="left" vertical="top" indent="1"/>
    </xf>
    <xf numFmtId="164" fontId="14" fillId="5" borderId="22" xfId="0" applyNumberFormat="1" applyFont="1" applyFill="1" applyBorder="1" applyAlignment="1">
      <alignment horizontal="left" vertical="top" indent="1"/>
    </xf>
    <xf numFmtId="164" fontId="14" fillId="5" borderId="27" xfId="0" applyNumberFormat="1" applyFont="1" applyFill="1" applyBorder="1" applyAlignment="1">
      <alignment horizontal="left" vertical="top" indent="1"/>
    </xf>
    <xf numFmtId="49" fontId="13" fillId="5" borderId="16" xfId="0" applyNumberFormat="1" applyFont="1" applyFill="1" applyBorder="1" applyAlignment="1">
      <alignment horizontal="left" indent="1"/>
    </xf>
    <xf numFmtId="0" fontId="16" fillId="5" borderId="22" xfId="0" applyFont="1" applyFill="1" applyBorder="1" applyAlignment="1">
      <alignment horizontal="left" vertical="top" indent="1"/>
    </xf>
    <xf numFmtId="0" fontId="16" fillId="5" borderId="27" xfId="0" applyFont="1" applyFill="1" applyBorder="1" applyAlignment="1">
      <alignment horizontal="left" vertical="top" indent="1"/>
    </xf>
    <xf numFmtId="49" fontId="13" fillId="5" borderId="25" xfId="0" applyNumberFormat="1" applyFont="1" applyFill="1" applyBorder="1" applyAlignment="1">
      <alignment horizontal="left" indent="1"/>
    </xf>
    <xf numFmtId="49" fontId="13" fillId="5" borderId="26" xfId="0" applyNumberFormat="1" applyFont="1" applyFill="1" applyBorder="1" applyAlignment="1">
      <alignment horizontal="left" indent="1"/>
    </xf>
    <xf numFmtId="0" fontId="23" fillId="0" borderId="35" xfId="0" applyFont="1" applyFill="1" applyBorder="1" applyAlignment="1">
      <alignment vertical="center"/>
    </xf>
    <xf numFmtId="0" fontId="23" fillId="0" borderId="32" xfId="0" applyFont="1" applyFill="1" applyBorder="1" applyAlignment="1">
      <alignment vertical="center"/>
    </xf>
    <xf numFmtId="49" fontId="13" fillId="5" borderId="28" xfId="0" applyNumberFormat="1" applyFont="1" applyFill="1" applyBorder="1" applyAlignment="1">
      <alignment horizontal="left" indent="1"/>
    </xf>
    <xf numFmtId="0" fontId="12" fillId="6" borderId="10" xfId="0" applyFont="1" applyFill="1" applyBorder="1" applyAlignment="1">
      <alignment horizontal="left" indent="1"/>
    </xf>
    <xf numFmtId="0" fontId="12" fillId="6" borderId="6" xfId="0" applyFont="1" applyFill="1" applyBorder="1" applyAlignment="1">
      <alignment horizontal="left" indent="1"/>
    </xf>
    <xf numFmtId="0" fontId="22" fillId="0" borderId="33" xfId="0" applyFont="1" applyBorder="1" applyAlignment="1">
      <alignment horizontal="left" vertical="center" indent="2"/>
    </xf>
    <xf numFmtId="0" fontId="22" fillId="0" borderId="34" xfId="0" applyFont="1" applyBorder="1" applyAlignment="1">
      <alignment horizontal="left" vertical="center" indent="2"/>
    </xf>
    <xf numFmtId="0" fontId="22" fillId="0" borderId="30" xfId="0" applyFont="1" applyBorder="1" applyAlignment="1">
      <alignment horizontal="left" vertical="center" indent="2"/>
    </xf>
    <xf numFmtId="0" fontId="22" fillId="0" borderId="31" xfId="0" applyFont="1" applyBorder="1" applyAlignment="1">
      <alignment horizontal="left" vertical="center" indent="2"/>
    </xf>
    <xf numFmtId="0" fontId="24" fillId="0" borderId="36" xfId="0" applyFont="1" applyBorder="1" applyAlignment="1">
      <alignment horizontal="right" vertical="center" textRotation="90"/>
    </xf>
    <xf numFmtId="0" fontId="24" fillId="0" borderId="29" xfId="0" applyFont="1" applyBorder="1" applyAlignment="1">
      <alignment horizontal="right" vertical="center" textRotation="90"/>
    </xf>
    <xf numFmtId="0" fontId="24" fillId="0" borderId="33" xfId="0" applyFont="1" applyBorder="1" applyAlignment="1">
      <alignment horizontal="right" vertical="center" textRotation="90"/>
    </xf>
    <xf numFmtId="0" fontId="24" fillId="0" borderId="36" xfId="0" applyFont="1" applyBorder="1" applyAlignment="1">
      <alignment vertical="center" textRotation="90"/>
    </xf>
    <xf numFmtId="0" fontId="24" fillId="0" borderId="29" xfId="0" applyFont="1" applyBorder="1" applyAlignment="1">
      <alignment vertical="center" textRotation="90"/>
    </xf>
    <xf numFmtId="0" fontId="12" fillId="6" borderId="16" xfId="0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21" fillId="0" borderId="39" xfId="0" applyFont="1" applyFill="1" applyBorder="1" applyAlignment="1">
      <alignment horizontal="center" vertical="center" textRotation="90"/>
    </xf>
    <xf numFmtId="0" fontId="21" fillId="0" borderId="7" xfId="0" applyFont="1" applyFill="1" applyBorder="1" applyAlignment="1">
      <alignment horizontal="center" vertical="center" textRotation="90"/>
    </xf>
    <xf numFmtId="0" fontId="21" fillId="0" borderId="42" xfId="0" applyFont="1" applyFill="1" applyBorder="1" applyAlignment="1">
      <alignment horizontal="center" vertical="center" textRotation="90"/>
    </xf>
    <xf numFmtId="0" fontId="15" fillId="0" borderId="33" xfId="0" applyFont="1" applyBorder="1" applyAlignment="1">
      <alignment horizontal="left" vertical="center" indent="2"/>
    </xf>
    <xf numFmtId="0" fontId="15" fillId="0" borderId="34" xfId="0" applyFont="1" applyBorder="1" applyAlignment="1">
      <alignment horizontal="left" vertical="center" indent="2"/>
    </xf>
    <xf numFmtId="0" fontId="15" fillId="0" borderId="30" xfId="0" applyFont="1" applyBorder="1" applyAlignment="1">
      <alignment horizontal="left" vertical="center" indent="2"/>
    </xf>
    <xf numFmtId="0" fontId="15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2" fillId="4" borderId="10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7" fillId="0" borderId="5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9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8"/>
      <tableStyleElement type="headerRow" dxfId="57"/>
      <tableStyleElement type="totalRow" dxfId="56"/>
      <tableStyleElement type="firstColumn" dxfId="55"/>
      <tableStyleElement type="lastColumn" dxfId="54"/>
      <tableStyleElement type="firstRowStripe" dxfId="53"/>
      <tableStyleElement type="firstColumnStripe" dxfId="52"/>
    </tableStyle>
    <tableStyle name="TableStyleLight9 2" pivot="0" count="4">
      <tableStyleElement type="wholeTable" dxfId="51"/>
      <tableStyleElement type="headerRow" dxfId="50"/>
      <tableStyleElement type="totalRow" dxfId="49"/>
      <tableStyleElement type="firstColumn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3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3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33" sqref="M33:N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5" t="s">
        <v>3</v>
      </c>
      <c r="C2" s="21"/>
      <c r="D2" s="21"/>
      <c r="E2" s="21"/>
      <c r="F2" s="21"/>
      <c r="G2" s="21"/>
      <c r="H2" s="21"/>
      <c r="I2" s="21"/>
      <c r="J2" s="22"/>
      <c r="K2" s="70" t="s">
        <v>2</v>
      </c>
      <c r="L2" s="71">
        <v>2013</v>
      </c>
      <c r="M2" s="71"/>
      <c r="N2" s="65">
        <v>2021</v>
      </c>
    </row>
    <row r="3" spans="1:14" ht="21" customHeight="1" x14ac:dyDescent="0.2">
      <c r="A3" s="4"/>
      <c r="B3" s="36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2"/>
      <c r="L3" s="73"/>
      <c r="M3" s="73"/>
      <c r="N3" s="66"/>
    </row>
    <row r="4" spans="1:14" ht="18" customHeight="1" x14ac:dyDescent="0.2">
      <c r="A4" s="4"/>
      <c r="B4" s="36"/>
      <c r="C4" s="10">
        <f>IF(DAY(JanSun1)=1,JanSun1-6,JanSun1+1)</f>
        <v>44193</v>
      </c>
      <c r="D4" s="10">
        <f>IF(DAY(JanSun1)=1,JanSun1-5,JanSun1+2)</f>
        <v>44194</v>
      </c>
      <c r="E4" s="10">
        <f>IF(DAY(JanSun1)=1,JanSun1-4,JanSun1+3)</f>
        <v>44195</v>
      </c>
      <c r="F4" s="10">
        <f>IF(DAY(JanSun1)=1,JanSun1-3,JanSun1+4)</f>
        <v>44196</v>
      </c>
      <c r="G4" s="10">
        <f>IF(DAY(JanSun1)=1,JanSun1-2,JanSun1+5)</f>
        <v>44197</v>
      </c>
      <c r="H4" s="10">
        <f>IF(DAY(JanSun1)=1,JanSun1-1,JanSun1+6)</f>
        <v>44198</v>
      </c>
      <c r="I4" s="10">
        <f>IF(DAY(JanSun1)=1,JanSun1,JanSun1+7)</f>
        <v>44199</v>
      </c>
      <c r="J4" s="5"/>
      <c r="K4" s="76" t="s">
        <v>11</v>
      </c>
      <c r="L4" s="16">
        <v>4</v>
      </c>
      <c r="M4" s="102" t="s">
        <v>31</v>
      </c>
      <c r="N4" s="103"/>
    </row>
    <row r="5" spans="1:14" ht="18" customHeight="1" x14ac:dyDescent="0.2">
      <c r="A5" s="4"/>
      <c r="B5" s="36"/>
      <c r="C5" s="10">
        <f>IF(DAY(JanSun1)=1,JanSun1+1,JanSun1+8)</f>
        <v>44200</v>
      </c>
      <c r="D5" s="10">
        <f>IF(DAY(JanSun1)=1,JanSun1+2,JanSun1+9)</f>
        <v>44201</v>
      </c>
      <c r="E5" s="10">
        <f>IF(DAY(JanSun1)=1,JanSun1+3,JanSun1+10)</f>
        <v>44202</v>
      </c>
      <c r="F5" s="10">
        <f>IF(DAY(JanSun1)=1,JanSun1+4,JanSun1+11)</f>
        <v>44203</v>
      </c>
      <c r="G5" s="10">
        <f>IF(DAY(JanSun1)=1,JanSun1+5,JanSun1+12)</f>
        <v>44204</v>
      </c>
      <c r="H5" s="10">
        <f>IF(DAY(JanSun1)=1,JanSun1+6,JanSun1+13)</f>
        <v>44205</v>
      </c>
      <c r="I5" s="10">
        <f>IF(DAY(JanSun1)=1,JanSun1+7,JanSun1+14)</f>
        <v>44206</v>
      </c>
      <c r="J5" s="5"/>
      <c r="K5" s="75"/>
      <c r="L5" s="17">
        <v>11</v>
      </c>
      <c r="M5" s="34" t="s">
        <v>51</v>
      </c>
      <c r="N5" s="34"/>
    </row>
    <row r="6" spans="1:14" ht="18" customHeight="1" x14ac:dyDescent="0.2">
      <c r="A6" s="4"/>
      <c r="B6" s="36"/>
      <c r="C6" s="10">
        <f>IF(DAY(JanSun1)=1,JanSun1+8,JanSun1+15)</f>
        <v>44207</v>
      </c>
      <c r="D6" s="10">
        <f>IF(DAY(JanSun1)=1,JanSun1+9,JanSun1+16)</f>
        <v>44208</v>
      </c>
      <c r="E6" s="10">
        <f>IF(DAY(JanSun1)=1,JanSun1+10,JanSun1+17)</f>
        <v>44209</v>
      </c>
      <c r="F6" s="10">
        <f>IF(DAY(JanSun1)=1,JanSun1+11,JanSun1+18)</f>
        <v>44210</v>
      </c>
      <c r="G6" s="10">
        <f>IF(DAY(JanSun1)=1,JanSun1+12,JanSun1+19)</f>
        <v>44211</v>
      </c>
      <c r="H6" s="10">
        <f>IF(DAY(JanSun1)=1,JanSun1+13,JanSun1+20)</f>
        <v>44212</v>
      </c>
      <c r="I6" s="10">
        <f>IF(DAY(JanSun1)=1,JanSun1+14,JanSun1+21)</f>
        <v>44213</v>
      </c>
      <c r="J6" s="5"/>
      <c r="K6" s="75"/>
      <c r="L6" s="17">
        <v>18</v>
      </c>
      <c r="M6" s="34" t="s">
        <v>51</v>
      </c>
      <c r="N6" s="34"/>
    </row>
    <row r="7" spans="1:14" ht="18" customHeight="1" x14ac:dyDescent="0.2">
      <c r="A7" s="4"/>
      <c r="B7" s="36"/>
      <c r="C7" s="10">
        <f>IF(DAY(JanSun1)=1,JanSun1+15,JanSun1+22)</f>
        <v>44214</v>
      </c>
      <c r="D7" s="10">
        <f>IF(DAY(JanSun1)=1,JanSun1+16,JanSun1+23)</f>
        <v>44215</v>
      </c>
      <c r="E7" s="10">
        <f>IF(DAY(JanSun1)=1,JanSun1+17,JanSun1+24)</f>
        <v>44216</v>
      </c>
      <c r="F7" s="10">
        <f>IF(DAY(JanSun1)=1,JanSun1+18,JanSun1+25)</f>
        <v>44217</v>
      </c>
      <c r="G7" s="10">
        <f>IF(DAY(JanSun1)=1,JanSun1+19,JanSun1+26)</f>
        <v>44218</v>
      </c>
      <c r="H7" s="10">
        <f>IF(DAY(JanSun1)=1,JanSun1+20,JanSun1+27)</f>
        <v>44219</v>
      </c>
      <c r="I7" s="10">
        <f>IF(DAY(JanSun1)=1,JanSun1+21,JanSun1+28)</f>
        <v>44220</v>
      </c>
      <c r="J7" s="5"/>
      <c r="K7" s="11"/>
      <c r="L7" s="17">
        <v>25</v>
      </c>
      <c r="M7" s="34" t="s">
        <v>51</v>
      </c>
      <c r="N7" s="34"/>
    </row>
    <row r="8" spans="1:14" ht="18.75" customHeight="1" x14ac:dyDescent="0.2">
      <c r="A8" s="4"/>
      <c r="B8" s="36"/>
      <c r="C8" s="10">
        <f>IF(DAY(JanSun1)=1,JanSun1+22,JanSun1+29)</f>
        <v>44221</v>
      </c>
      <c r="D8" s="10">
        <f>IF(DAY(JanSun1)=1,JanSun1+23,JanSun1+30)</f>
        <v>44222</v>
      </c>
      <c r="E8" s="10">
        <f>IF(DAY(JanSun1)=1,JanSun1+24,JanSun1+31)</f>
        <v>44223</v>
      </c>
      <c r="F8" s="10">
        <f>IF(DAY(JanSun1)=1,JanSun1+25,JanSun1+32)</f>
        <v>44224</v>
      </c>
      <c r="G8" s="10">
        <f>IF(DAY(JanSun1)=1,JanSun1+26,JanSun1+33)</f>
        <v>44225</v>
      </c>
      <c r="H8" s="10">
        <f>IF(DAY(JanSun1)=1,JanSun1+27,JanSun1+34)</f>
        <v>44226</v>
      </c>
      <c r="I8" s="10">
        <f>IF(DAY(JanSun1)=1,JanSun1+28,JanSun1+35)</f>
        <v>44227</v>
      </c>
      <c r="J8" s="5"/>
      <c r="K8" s="11"/>
      <c r="L8" s="17"/>
      <c r="M8" s="28"/>
      <c r="N8" s="29"/>
    </row>
    <row r="9" spans="1:14" ht="18" customHeight="1" x14ac:dyDescent="0.2">
      <c r="A9" s="4"/>
      <c r="B9" s="36"/>
      <c r="C9" s="10">
        <f>IF(DAY(JanSun1)=1,JanSun1+29,JanSun1+36)</f>
        <v>44228</v>
      </c>
      <c r="D9" s="10">
        <f>IF(DAY(JanSun1)=1,JanSun1+30,JanSun1+37)</f>
        <v>44229</v>
      </c>
      <c r="E9" s="10">
        <f>IF(DAY(JanSun1)=1,JanSun1+31,JanSun1+38)</f>
        <v>44230</v>
      </c>
      <c r="F9" s="10">
        <f>IF(DAY(JanSun1)=1,JanSun1+32,JanSun1+39)</f>
        <v>44231</v>
      </c>
      <c r="G9" s="10">
        <f>IF(DAY(JanSun1)=1,JanSun1+33,JanSun1+40)</f>
        <v>44232</v>
      </c>
      <c r="H9" s="10">
        <f>IF(DAY(JanSun1)=1,JanSun1+34,JanSun1+41)</f>
        <v>44233</v>
      </c>
      <c r="I9" s="10">
        <f>IF(DAY(JanSun1)=1,JanSun1+35,JanSun1+42)</f>
        <v>44234</v>
      </c>
      <c r="J9" s="5"/>
      <c r="K9" s="12"/>
      <c r="L9" s="18"/>
      <c r="M9" s="30"/>
      <c r="N9" s="31"/>
    </row>
    <row r="10" spans="1:14" ht="18" customHeight="1" x14ac:dyDescent="0.2">
      <c r="A10" s="4"/>
      <c r="B10" s="37"/>
      <c r="C10" s="23"/>
      <c r="D10" s="23"/>
      <c r="E10" s="23"/>
      <c r="F10" s="23"/>
      <c r="G10" s="23"/>
      <c r="H10" s="23"/>
      <c r="I10" s="23"/>
      <c r="J10" s="24"/>
      <c r="K10" s="74" t="s">
        <v>12</v>
      </c>
      <c r="L10" s="16">
        <v>5</v>
      </c>
      <c r="M10" s="102" t="s">
        <v>31</v>
      </c>
      <c r="N10" s="103"/>
    </row>
    <row r="11" spans="1:14" ht="18" customHeight="1" x14ac:dyDescent="0.2">
      <c r="A11" s="4"/>
      <c r="B11" s="38" t="s">
        <v>10</v>
      </c>
      <c r="C11" s="39"/>
      <c r="D11" s="39"/>
      <c r="E11" s="39"/>
      <c r="F11" s="39"/>
      <c r="G11" s="39"/>
      <c r="H11" s="39"/>
      <c r="I11" s="39"/>
      <c r="J11" s="40"/>
      <c r="K11" s="75"/>
      <c r="L11" s="17">
        <v>12</v>
      </c>
      <c r="M11" s="34" t="s">
        <v>51</v>
      </c>
      <c r="N11" s="29"/>
    </row>
    <row r="12" spans="1:14" ht="18" customHeight="1" x14ac:dyDescent="0.2">
      <c r="A12" s="4"/>
      <c r="B12" s="38"/>
      <c r="C12" s="39"/>
      <c r="D12" s="39"/>
      <c r="E12" s="39"/>
      <c r="F12" s="39"/>
      <c r="G12" s="39"/>
      <c r="H12" s="39"/>
      <c r="I12" s="39"/>
      <c r="J12" s="40"/>
      <c r="K12" s="75"/>
      <c r="L12" s="17">
        <v>19</v>
      </c>
      <c r="M12" s="34" t="s">
        <v>51</v>
      </c>
      <c r="N12" s="29"/>
    </row>
    <row r="13" spans="1:14" ht="18" customHeight="1" x14ac:dyDescent="0.2">
      <c r="B13" s="27" t="s">
        <v>11</v>
      </c>
      <c r="C13" s="68" t="s">
        <v>12</v>
      </c>
      <c r="D13" s="69"/>
      <c r="E13" s="68" t="s">
        <v>13</v>
      </c>
      <c r="F13" s="69"/>
      <c r="G13" s="68" t="s">
        <v>14</v>
      </c>
      <c r="H13" s="69"/>
      <c r="I13" s="68" t="s">
        <v>15</v>
      </c>
      <c r="J13" s="79"/>
      <c r="K13" s="11"/>
      <c r="L13" s="17">
        <v>26</v>
      </c>
      <c r="M13" s="34" t="s">
        <v>51</v>
      </c>
      <c r="N13" s="29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/>
      <c r="M14" s="28"/>
      <c r="N14" s="29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30"/>
      <c r="N15" s="31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77" t="s">
        <v>13</v>
      </c>
      <c r="L16" s="16">
        <v>6</v>
      </c>
      <c r="M16" s="32" t="s">
        <v>51</v>
      </c>
      <c r="N16" s="33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78"/>
      <c r="L17" s="17">
        <v>13</v>
      </c>
      <c r="M17" s="34" t="s">
        <v>51</v>
      </c>
      <c r="N17" s="29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78"/>
      <c r="L18" s="17">
        <v>20</v>
      </c>
      <c r="M18" s="34" t="s">
        <v>51</v>
      </c>
      <c r="N18" s="29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27</v>
      </c>
      <c r="M19" s="34" t="s">
        <v>51</v>
      </c>
      <c r="N19" s="29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/>
      <c r="M20" s="28"/>
      <c r="N20" s="29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30"/>
      <c r="N21" s="31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77" t="s">
        <v>14</v>
      </c>
      <c r="L22" s="16">
        <v>7</v>
      </c>
      <c r="M22" s="34" t="s">
        <v>51</v>
      </c>
      <c r="N22" s="3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78"/>
      <c r="L23" s="17">
        <v>14</v>
      </c>
      <c r="M23" s="34" t="s">
        <v>51</v>
      </c>
      <c r="N23" s="29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78"/>
      <c r="L24" s="17">
        <v>21</v>
      </c>
      <c r="M24" s="34" t="s">
        <v>51</v>
      </c>
      <c r="N24" s="29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78"/>
      <c r="L25" s="17">
        <v>28</v>
      </c>
      <c r="M25" s="28" t="s">
        <v>51</v>
      </c>
      <c r="N25" s="29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28"/>
      <c r="N26" s="29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30"/>
      <c r="N27" s="3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74" t="s">
        <v>15</v>
      </c>
      <c r="L28" s="16">
        <v>1</v>
      </c>
      <c r="M28" s="41" t="s">
        <v>33</v>
      </c>
      <c r="N28" s="42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75"/>
      <c r="L29" s="17">
        <v>8</v>
      </c>
      <c r="M29" s="34" t="s">
        <v>51</v>
      </c>
      <c r="N29" s="29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75"/>
      <c r="L30" s="17">
        <v>15</v>
      </c>
      <c r="M30" s="34" t="s">
        <v>51</v>
      </c>
      <c r="N30" s="29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22</v>
      </c>
      <c r="M31" s="34" t="s">
        <v>51</v>
      </c>
      <c r="N31" s="29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29</v>
      </c>
      <c r="M32" s="41" t="s">
        <v>51</v>
      </c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98">
    <mergeCell ref="M28:N28"/>
    <mergeCell ref="M10:N10"/>
    <mergeCell ref="K16:K18"/>
    <mergeCell ref="K22:K25"/>
    <mergeCell ref="K28:K30"/>
    <mergeCell ref="I13:J13"/>
    <mergeCell ref="G13:H13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E13:F13"/>
    <mergeCell ref="C13:D13"/>
    <mergeCell ref="K2:M3"/>
    <mergeCell ref="K10:K12"/>
    <mergeCell ref="K4:K6"/>
    <mergeCell ref="M4:N4"/>
    <mergeCell ref="N2:N3"/>
    <mergeCell ref="C19:D19"/>
    <mergeCell ref="C20:D20"/>
    <mergeCell ref="C21:D21"/>
    <mergeCell ref="C22:D22"/>
    <mergeCell ref="E18:F18"/>
    <mergeCell ref="E17:F17"/>
    <mergeCell ref="E16:F16"/>
    <mergeCell ref="E15:F15"/>
    <mergeCell ref="E14:F14"/>
    <mergeCell ref="G17:H17"/>
    <mergeCell ref="I17:J17"/>
    <mergeCell ref="G18:H18"/>
    <mergeCell ref="I18:J18"/>
    <mergeCell ref="G19:H19"/>
    <mergeCell ref="G14:H14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23:F23"/>
    <mergeCell ref="E22:F22"/>
    <mergeCell ref="E21:F21"/>
    <mergeCell ref="E20:F20"/>
    <mergeCell ref="E19:F19"/>
    <mergeCell ref="G20:H20"/>
    <mergeCell ref="G21:H21"/>
    <mergeCell ref="I19:J19"/>
    <mergeCell ref="I20:J20"/>
    <mergeCell ref="I21:J21"/>
    <mergeCell ref="I29:J29"/>
    <mergeCell ref="G25:H25"/>
    <mergeCell ref="G26:H26"/>
    <mergeCell ref="G27:H27"/>
    <mergeCell ref="G28:H28"/>
    <mergeCell ref="G29:H29"/>
    <mergeCell ref="B2:B10"/>
    <mergeCell ref="B11:J12"/>
    <mergeCell ref="M32:N32"/>
    <mergeCell ref="M33:N33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  <mergeCell ref="I26:J26"/>
    <mergeCell ref="I27:J27"/>
    <mergeCell ref="I28:J28"/>
  </mergeCells>
  <phoneticPr fontId="2" type="noConversion"/>
  <conditionalFormatting sqref="C4:H4">
    <cfRule type="expression" dxfId="47" priority="4" stopIfTrue="1">
      <formula>DAY(C4)&gt;8</formula>
    </cfRule>
  </conditionalFormatting>
  <conditionalFormatting sqref="C8:I10">
    <cfRule type="expression" dxfId="46" priority="3" stopIfTrue="1">
      <formula>AND(DAY(C8)&gt;=1,DAY(C8)&lt;=15)</formula>
    </cfRule>
  </conditionalFormatting>
  <conditionalFormatting sqref="C4:I9">
    <cfRule type="expression" dxfId="45" priority="15">
      <formula>VLOOKUP(DAY(C4),DíasDeTareas,1,FALSE)=DAY(C4)</formula>
    </cfRule>
  </conditionalFormatting>
  <conditionalFormatting sqref="B14:J33">
    <cfRule type="expression" dxfId="44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E8" zoomScaleNormal="100" zoomScalePageLayoutView="84" workbookViewId="0">
      <selection activeCell="E37" sqref="E3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128" style="1" customWidth="1"/>
    <col min="14" max="14" width="176.28515625" style="1" customWidth="1"/>
    <col min="15" max="15" width="29.710937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17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IF(DAY(OctDom1)=1,OctDom1-6,OctDom1+1)</f>
        <v>44466</v>
      </c>
      <c r="D4" s="10">
        <f>IF(DAY(OctDom1)=1,OctDom1-5,OctDom1+2)</f>
        <v>44467</v>
      </c>
      <c r="E4" s="10">
        <f>IF(DAY(OctDom1)=1,OctDom1-4,OctDom1+3)</f>
        <v>44468</v>
      </c>
      <c r="F4" s="10">
        <f>IF(DAY(OctDom1)=1,OctDom1-3,OctDom1+4)</f>
        <v>44469</v>
      </c>
      <c r="G4" s="10">
        <f>IF(DAY(OctDom1)=1,OctDom1-2,OctDom1+5)</f>
        <v>44470</v>
      </c>
      <c r="H4" s="10">
        <f>IF(DAY(OctDom1)=1,OctDom1-1,OctDom1+6)</f>
        <v>44471</v>
      </c>
      <c r="I4" s="10">
        <f>IF(DAY(OctDom1)=1,OctDom1,OctDom1+7)</f>
        <v>44472</v>
      </c>
      <c r="J4" s="5"/>
      <c r="K4" s="91" t="s">
        <v>11</v>
      </c>
      <c r="L4" s="16">
        <v>5</v>
      </c>
      <c r="M4" s="102"/>
      <c r="N4" s="103"/>
    </row>
    <row r="5" spans="1:14" ht="18" customHeight="1" x14ac:dyDescent="0.2">
      <c r="A5" s="4"/>
      <c r="B5" s="85"/>
      <c r="C5" s="10">
        <f>IF(DAY(OctDom1)=1,OctDom1+1,OctDom1+8)</f>
        <v>44473</v>
      </c>
      <c r="D5" s="10">
        <f>IF(DAY(OctDom1)=1,OctDom1+2,OctDom1+9)</f>
        <v>44474</v>
      </c>
      <c r="E5" s="10">
        <f>IF(DAY(OctDom1)=1,OctDom1+3,OctDom1+10)</f>
        <v>44475</v>
      </c>
      <c r="F5" s="10">
        <f>IF(DAY(OctDom1)=1,OctDom1+4,OctDom1+11)</f>
        <v>44476</v>
      </c>
      <c r="G5" s="10">
        <f>IF(DAY(OctDom1)=1,OctDom1+5,OctDom1+12)</f>
        <v>44477</v>
      </c>
      <c r="H5" s="10">
        <f>IF(DAY(OctDom1)=1,OctDom1+6,OctDom1+13)</f>
        <v>44478</v>
      </c>
      <c r="I5" s="10">
        <f>IF(DAY(OctDom1)=1,OctDom1+7,OctDom1+14)</f>
        <v>44479</v>
      </c>
      <c r="J5" s="5"/>
      <c r="K5" s="81"/>
      <c r="L5" s="17">
        <v>12</v>
      </c>
      <c r="M5" s="41"/>
      <c r="N5" s="42"/>
    </row>
    <row r="6" spans="1:14" ht="18" customHeight="1" x14ac:dyDescent="0.2">
      <c r="A6" s="4"/>
      <c r="B6" s="85"/>
      <c r="C6" s="10">
        <f>IF(DAY(OctDom1)=1,OctDom1+8,OctDom1+15)</f>
        <v>44480</v>
      </c>
      <c r="D6" s="10">
        <f>IF(DAY(OctDom1)=1,OctDom1+9,OctDom1+16)</f>
        <v>44481</v>
      </c>
      <c r="E6" s="10">
        <f>IF(DAY(OctDom1)=1,OctDom1+10,OctDom1+17)</f>
        <v>44482</v>
      </c>
      <c r="F6" s="10">
        <f>IF(DAY(OctDom1)=1,OctDom1+11,OctDom1+18)</f>
        <v>44483</v>
      </c>
      <c r="G6" s="10">
        <f>IF(DAY(OctDom1)=1,OctDom1+12,OctDom1+19)</f>
        <v>44484</v>
      </c>
      <c r="H6" s="10">
        <f>IF(DAY(OctDom1)=1,OctDom1+13,OctDom1+20)</f>
        <v>44485</v>
      </c>
      <c r="I6" s="10">
        <f>IF(DAY(OctDom1)=1,OctDom1+14,OctDom1+21)</f>
        <v>44486</v>
      </c>
      <c r="J6" s="5"/>
      <c r="K6" s="81"/>
      <c r="L6" s="17">
        <v>19</v>
      </c>
      <c r="M6" s="41"/>
      <c r="N6" s="42"/>
    </row>
    <row r="7" spans="1:14" ht="18" customHeight="1" x14ac:dyDescent="0.2">
      <c r="A7" s="4"/>
      <c r="B7" s="85"/>
      <c r="C7" s="10">
        <f>IF(DAY(OctDom1)=1,OctDom1+15,OctDom1+22)</f>
        <v>44487</v>
      </c>
      <c r="D7" s="10">
        <f>IF(DAY(OctDom1)=1,OctDom1+16,OctDom1+23)</f>
        <v>44488</v>
      </c>
      <c r="E7" s="10">
        <f>IF(DAY(OctDom1)=1,OctDom1+17,OctDom1+24)</f>
        <v>44489</v>
      </c>
      <c r="F7" s="10">
        <f>IF(DAY(OctDom1)=1,OctDom1+18,OctDom1+25)</f>
        <v>44490</v>
      </c>
      <c r="G7" s="10">
        <f>IF(DAY(OctDom1)=1,OctDom1+19,OctDom1+26)</f>
        <v>44491</v>
      </c>
      <c r="H7" s="10">
        <f>IF(DAY(OctDom1)=1,OctDom1+20,OctDom1+27)</f>
        <v>44492</v>
      </c>
      <c r="I7" s="10">
        <f>IF(DAY(OctDom1)=1,OctDom1+21,OctDom1+28)</f>
        <v>44493</v>
      </c>
      <c r="J7" s="5"/>
      <c r="K7" s="11"/>
      <c r="L7" s="17">
        <v>26</v>
      </c>
      <c r="M7" s="41"/>
      <c r="N7" s="42"/>
    </row>
    <row r="8" spans="1:14" ht="18.75" customHeight="1" x14ac:dyDescent="0.2">
      <c r="A8" s="4"/>
      <c r="B8" s="85"/>
      <c r="C8" s="10">
        <f>IF(DAY(OctDom1)=1,OctDom1+22,OctDom1+29)</f>
        <v>44494</v>
      </c>
      <c r="D8" s="10">
        <f>IF(DAY(OctDom1)=1,OctDom1+23,OctDom1+30)</f>
        <v>44495</v>
      </c>
      <c r="E8" s="10">
        <f>IF(DAY(OctDom1)=1,OctDom1+24,OctDom1+31)</f>
        <v>44496</v>
      </c>
      <c r="F8" s="10">
        <f>IF(DAY(OctDom1)=1,OctDom1+25,OctDom1+32)</f>
        <v>44497</v>
      </c>
      <c r="G8" s="10">
        <f>IF(DAY(OctDom1)=1,OctDom1+26,OctDom1+33)</f>
        <v>44498</v>
      </c>
      <c r="H8" s="10">
        <f>IF(DAY(OctDom1)=1,OctDom1+27,OctDom1+34)</f>
        <v>44499</v>
      </c>
      <c r="I8" s="10">
        <f>IF(DAY(OctDom1)=1,OctDom1+28,OctDom1+35)</f>
        <v>44500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IF(DAY(OctDom1)=1,OctDom1+29,OctDom1+36)</f>
        <v>44501</v>
      </c>
      <c r="D9" s="10">
        <f>IF(DAY(OctDom1)=1,OctDom1+30,OctDom1+37)</f>
        <v>44502</v>
      </c>
      <c r="E9" s="10">
        <f>IF(DAY(OctDom1)=1,OctDom1+31,OctDom1+38)</f>
        <v>44503</v>
      </c>
      <c r="F9" s="10">
        <f>IF(DAY(OctDom1)=1,OctDom1+32,OctDom1+39)</f>
        <v>44504</v>
      </c>
      <c r="G9" s="10">
        <f>IF(DAY(OctDom1)=1,OctDom1+33,OctDom1+40)</f>
        <v>44505</v>
      </c>
      <c r="H9" s="10">
        <f>IF(DAY(OctDom1)=1,OctDom1+34,OctDom1+41)</f>
        <v>44506</v>
      </c>
      <c r="I9" s="10">
        <f>IF(DAY(OctDom1)=1,OctDom1+35,OctDom1+42)</f>
        <v>44507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/>
      <c r="M10" s="100"/>
      <c r="N10" s="101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6</v>
      </c>
      <c r="M11" s="100"/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13</v>
      </c>
      <c r="M12" s="41"/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20</v>
      </c>
      <c r="M13" s="41"/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27</v>
      </c>
      <c r="M14" s="41"/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98"/>
      <c r="N15" s="99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/>
      <c r="M16" s="100"/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7</v>
      </c>
      <c r="M17" s="41"/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14</v>
      </c>
      <c r="M18" s="41"/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21</v>
      </c>
      <c r="M19" s="41"/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28</v>
      </c>
      <c r="M20" s="41"/>
      <c r="N20" s="42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98"/>
      <c r="N21" s="99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1</v>
      </c>
      <c r="M22" s="102"/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8</v>
      </c>
      <c r="M23" s="41"/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15</v>
      </c>
      <c r="M24" s="41"/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22</v>
      </c>
      <c r="M25" s="41"/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>
        <v>29</v>
      </c>
      <c r="M26" s="100"/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98"/>
      <c r="N27" s="99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2</v>
      </c>
      <c r="M28" s="100"/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9</v>
      </c>
      <c r="M29" s="41"/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16</v>
      </c>
      <c r="M30" s="41"/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23</v>
      </c>
      <c r="M31" s="41"/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30</v>
      </c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5" zoomScaleNormal="100" zoomScalePageLayoutView="84" workbookViewId="0">
      <selection activeCell="M33" sqref="M33:N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16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IF(DAY(NovDom1)=1,NovDom1-6,NovDom1+1)</f>
        <v>44501</v>
      </c>
      <c r="D4" s="10">
        <f>IF(DAY(NovDom1)=1,NovDom1-5,NovDom1+2)</f>
        <v>44502</v>
      </c>
      <c r="E4" s="10">
        <f>IF(DAY(NovDom1)=1,NovDom1-4,NovDom1+3)</f>
        <v>44503</v>
      </c>
      <c r="F4" s="10">
        <f>IF(DAY(NovDom1)=1,NovDom1-3,NovDom1+4)</f>
        <v>44504</v>
      </c>
      <c r="G4" s="10">
        <f>IF(DAY(NovDom1)=1,NovDom1-2,NovDom1+5)</f>
        <v>44505</v>
      </c>
      <c r="H4" s="10">
        <f>IF(DAY(NovDom1)=1,NovDom1-1,NovDom1+6)</f>
        <v>44506</v>
      </c>
      <c r="I4" s="10">
        <f>IF(DAY(NovDom1)=1,NovDom1,NovDom1+7)</f>
        <v>44507</v>
      </c>
      <c r="J4" s="5"/>
      <c r="K4" s="91" t="s">
        <v>11</v>
      </c>
      <c r="L4" s="16">
        <v>2</v>
      </c>
      <c r="M4" s="102"/>
      <c r="N4" s="103"/>
    </row>
    <row r="5" spans="1:14" ht="18" customHeight="1" x14ac:dyDescent="0.2">
      <c r="A5" s="4"/>
      <c r="B5" s="85"/>
      <c r="C5" s="10">
        <f>IF(DAY(NovDom1)=1,NovDom1+1,NovDom1+8)</f>
        <v>44508</v>
      </c>
      <c r="D5" s="10">
        <f>IF(DAY(NovDom1)=1,NovDom1+2,NovDom1+9)</f>
        <v>44509</v>
      </c>
      <c r="E5" s="10">
        <f>IF(DAY(NovDom1)=1,NovDom1+3,NovDom1+10)</f>
        <v>44510</v>
      </c>
      <c r="F5" s="10">
        <f>IF(DAY(NovDom1)=1,NovDom1+4,NovDom1+11)</f>
        <v>44511</v>
      </c>
      <c r="G5" s="10">
        <f>IF(DAY(NovDom1)=1,NovDom1+5,NovDom1+12)</f>
        <v>44512</v>
      </c>
      <c r="H5" s="10">
        <f>IF(DAY(NovDom1)=1,NovDom1+6,NovDom1+13)</f>
        <v>44513</v>
      </c>
      <c r="I5" s="10">
        <f>IF(DAY(NovDom1)=1,NovDom1+7,NovDom1+14)</f>
        <v>44514</v>
      </c>
      <c r="J5" s="5"/>
      <c r="K5" s="81"/>
      <c r="L5" s="17">
        <v>9</v>
      </c>
      <c r="M5" s="41"/>
      <c r="N5" s="42"/>
    </row>
    <row r="6" spans="1:14" ht="18" customHeight="1" x14ac:dyDescent="0.2">
      <c r="A6" s="4"/>
      <c r="B6" s="85"/>
      <c r="C6" s="10">
        <f>IF(DAY(NovDom1)=1,NovDom1+8,NovDom1+15)</f>
        <v>44515</v>
      </c>
      <c r="D6" s="10">
        <f>IF(DAY(NovDom1)=1,NovDom1+9,NovDom1+16)</f>
        <v>44516</v>
      </c>
      <c r="E6" s="10">
        <f>IF(DAY(NovDom1)=1,NovDom1+10,NovDom1+17)</f>
        <v>44517</v>
      </c>
      <c r="F6" s="10">
        <f>IF(DAY(NovDom1)=1,NovDom1+11,NovDom1+18)</f>
        <v>44518</v>
      </c>
      <c r="G6" s="10">
        <f>IF(DAY(NovDom1)=1,NovDom1+12,NovDom1+19)</f>
        <v>44519</v>
      </c>
      <c r="H6" s="10">
        <f>IF(DAY(NovDom1)=1,NovDom1+13,NovDom1+20)</f>
        <v>44520</v>
      </c>
      <c r="I6" s="10">
        <f>IF(DAY(NovDom1)=1,NovDom1+14,NovDom1+21)</f>
        <v>44521</v>
      </c>
      <c r="J6" s="5"/>
      <c r="K6" s="81"/>
      <c r="L6" s="17">
        <v>16</v>
      </c>
      <c r="M6" s="41"/>
      <c r="N6" s="42"/>
    </row>
    <row r="7" spans="1:14" ht="18" customHeight="1" x14ac:dyDescent="0.2">
      <c r="A7" s="4"/>
      <c r="B7" s="85"/>
      <c r="C7" s="10">
        <f>IF(DAY(NovDom1)=1,NovDom1+15,NovDom1+22)</f>
        <v>44522</v>
      </c>
      <c r="D7" s="10">
        <f>IF(DAY(NovDom1)=1,NovDom1+16,NovDom1+23)</f>
        <v>44523</v>
      </c>
      <c r="E7" s="10">
        <f>IF(DAY(NovDom1)=1,NovDom1+17,NovDom1+24)</f>
        <v>44524</v>
      </c>
      <c r="F7" s="10">
        <f>IF(DAY(NovDom1)=1,NovDom1+18,NovDom1+25)</f>
        <v>44525</v>
      </c>
      <c r="G7" s="10">
        <f>IF(DAY(NovDom1)=1,NovDom1+19,NovDom1+26)</f>
        <v>44526</v>
      </c>
      <c r="H7" s="10">
        <f>IF(DAY(NovDom1)=1,NovDom1+20,NovDom1+27)</f>
        <v>44527</v>
      </c>
      <c r="I7" s="10">
        <f>IF(DAY(NovDom1)=1,NovDom1+21,NovDom1+28)</f>
        <v>44528</v>
      </c>
      <c r="J7" s="5"/>
      <c r="K7" s="11"/>
      <c r="L7" s="17">
        <v>23</v>
      </c>
      <c r="M7" s="41"/>
      <c r="N7" s="42"/>
    </row>
    <row r="8" spans="1:14" ht="18.75" customHeight="1" x14ac:dyDescent="0.2">
      <c r="A8" s="4"/>
      <c r="B8" s="85"/>
      <c r="C8" s="10">
        <f>IF(DAY(NovDom1)=1,NovDom1+22,NovDom1+29)</f>
        <v>44529</v>
      </c>
      <c r="D8" s="10">
        <f>IF(DAY(NovDom1)=1,NovDom1+23,NovDom1+30)</f>
        <v>44530</v>
      </c>
      <c r="E8" s="10">
        <f>IF(DAY(NovDom1)=1,NovDom1+24,NovDom1+31)</f>
        <v>44531</v>
      </c>
      <c r="F8" s="10">
        <f>IF(DAY(NovDom1)=1,NovDom1+25,NovDom1+32)</f>
        <v>44532</v>
      </c>
      <c r="G8" s="10">
        <f>IF(DAY(NovDom1)=1,NovDom1+26,NovDom1+33)</f>
        <v>44533</v>
      </c>
      <c r="H8" s="10">
        <f>IF(DAY(NovDom1)=1,NovDom1+27,NovDom1+34)</f>
        <v>44534</v>
      </c>
      <c r="I8" s="10">
        <f>IF(DAY(NovDom1)=1,NovDom1+28,NovDom1+35)</f>
        <v>44535</v>
      </c>
      <c r="J8" s="5"/>
      <c r="K8" s="11"/>
      <c r="L8" s="17">
        <v>30</v>
      </c>
      <c r="M8" s="41"/>
      <c r="N8" s="42"/>
    </row>
    <row r="9" spans="1:14" ht="18" customHeight="1" x14ac:dyDescent="0.2">
      <c r="A9" s="4"/>
      <c r="B9" s="85"/>
      <c r="C9" s="10">
        <f>IF(DAY(NovDom1)=1,NovDom1+29,NovDom1+36)</f>
        <v>44536</v>
      </c>
      <c r="D9" s="10">
        <f>IF(DAY(NovDom1)=1,NovDom1+30,NovDom1+37)</f>
        <v>44537</v>
      </c>
      <c r="E9" s="10">
        <f>IF(DAY(NovDom1)=1,NovDom1+31,NovDom1+38)</f>
        <v>44538</v>
      </c>
      <c r="F9" s="10">
        <f>IF(DAY(NovDom1)=1,NovDom1+32,NovDom1+39)</f>
        <v>44539</v>
      </c>
      <c r="G9" s="10">
        <f>IF(DAY(NovDom1)=1,NovDom1+33,NovDom1+40)</f>
        <v>44540</v>
      </c>
      <c r="H9" s="10">
        <f>IF(DAY(NovDom1)=1,NovDom1+34,NovDom1+41)</f>
        <v>44541</v>
      </c>
      <c r="I9" s="10">
        <f>IF(DAY(NovDom1)=1,NovDom1+35,NovDom1+42)</f>
        <v>44542</v>
      </c>
      <c r="J9" s="5"/>
      <c r="K9" s="12"/>
      <c r="L9" s="18"/>
      <c r="M9" s="41"/>
      <c r="N9" s="42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/>
      <c r="M10" s="100"/>
      <c r="N10" s="101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3</v>
      </c>
      <c r="M11" s="100"/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10</v>
      </c>
      <c r="M12" s="100"/>
      <c r="N12" s="101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17</v>
      </c>
      <c r="M13" s="41"/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24</v>
      </c>
      <c r="M14" s="41"/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98"/>
      <c r="N15" s="99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/>
      <c r="M16" s="100"/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4</v>
      </c>
      <c r="M17" s="41"/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11</v>
      </c>
      <c r="M18" s="41"/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18</v>
      </c>
      <c r="M19" s="41"/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25</v>
      </c>
      <c r="M20" s="41"/>
      <c r="N20" s="42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98"/>
      <c r="N21" s="99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5</v>
      </c>
      <c r="M22" s="102"/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12</v>
      </c>
      <c r="M23" s="41"/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19</v>
      </c>
      <c r="M24" s="41"/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26</v>
      </c>
      <c r="M25" s="41"/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41"/>
      <c r="N26" s="42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98"/>
      <c r="N27" s="99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6</v>
      </c>
      <c r="M28" s="100"/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13</v>
      </c>
      <c r="M29" s="41"/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20</v>
      </c>
      <c r="M30" s="41"/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27</v>
      </c>
      <c r="M31" s="41"/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B2:B10"/>
    <mergeCell ref="K2:M3"/>
    <mergeCell ref="K4:K6"/>
    <mergeCell ref="K10:K12"/>
    <mergeCell ref="C14:D14"/>
    <mergeCell ref="E14:F14"/>
    <mergeCell ref="G14:H14"/>
    <mergeCell ref="I14:J14"/>
    <mergeCell ref="B11:J12"/>
    <mergeCell ref="C13:D13"/>
    <mergeCell ref="E13:F13"/>
    <mergeCell ref="G13:H13"/>
    <mergeCell ref="I13:J13"/>
    <mergeCell ref="M4:N4"/>
    <mergeCell ref="M5:N5"/>
    <mergeCell ref="M6:N6"/>
    <mergeCell ref="M7:N7"/>
    <mergeCell ref="M8:N8"/>
    <mergeCell ref="M9:N9"/>
    <mergeCell ref="M10:N10"/>
    <mergeCell ref="M11:N11"/>
    <mergeCell ref="K16:K18"/>
    <mergeCell ref="C17:D17"/>
    <mergeCell ref="E17:F17"/>
    <mergeCell ref="G17:H17"/>
    <mergeCell ref="I17:J17"/>
    <mergeCell ref="C15:D15"/>
    <mergeCell ref="E15:F15"/>
    <mergeCell ref="G15:H15"/>
    <mergeCell ref="I15:J15"/>
    <mergeCell ref="C18:D18"/>
    <mergeCell ref="E18:F18"/>
    <mergeCell ref="G18:H18"/>
    <mergeCell ref="I18:J18"/>
    <mergeCell ref="C16:D16"/>
    <mergeCell ref="E16:F16"/>
    <mergeCell ref="G16:H16"/>
    <mergeCell ref="I16:J16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G26:H26"/>
    <mergeCell ref="I26:J26"/>
    <mergeCell ref="C27:D27"/>
    <mergeCell ref="E27:F27"/>
    <mergeCell ref="G27:H27"/>
    <mergeCell ref="I27:J27"/>
    <mergeCell ref="K22:K25"/>
    <mergeCell ref="C24:D24"/>
    <mergeCell ref="E24:F24"/>
    <mergeCell ref="G24:H24"/>
    <mergeCell ref="I24:J24"/>
    <mergeCell ref="C25:D25"/>
    <mergeCell ref="E25:F25"/>
    <mergeCell ref="G25:H25"/>
    <mergeCell ref="I25:J25"/>
    <mergeCell ref="C23:D23"/>
    <mergeCell ref="E23:F23"/>
    <mergeCell ref="G23:H23"/>
    <mergeCell ref="I23:J23"/>
    <mergeCell ref="C26:D26"/>
    <mergeCell ref="E26:F26"/>
    <mergeCell ref="C32:D32"/>
    <mergeCell ref="E32:F32"/>
    <mergeCell ref="G32:H32"/>
    <mergeCell ref="I32:J32"/>
    <mergeCell ref="C33:D33"/>
    <mergeCell ref="E33:F33"/>
    <mergeCell ref="G33:H33"/>
    <mergeCell ref="I33:J33"/>
    <mergeCell ref="M33:N33"/>
    <mergeCell ref="M32:N32"/>
    <mergeCell ref="C31:D31"/>
    <mergeCell ref="E31:F31"/>
    <mergeCell ref="G31:H31"/>
    <mergeCell ref="I31:J31"/>
    <mergeCell ref="K28:K30"/>
    <mergeCell ref="C29:D29"/>
    <mergeCell ref="E29:F29"/>
    <mergeCell ref="G29:H29"/>
    <mergeCell ref="I29:J29"/>
    <mergeCell ref="C30:D30"/>
    <mergeCell ref="E30:F30"/>
    <mergeCell ref="G30:H30"/>
    <mergeCell ref="I30:J30"/>
    <mergeCell ref="C28:D28"/>
    <mergeCell ref="E28:F28"/>
    <mergeCell ref="G28:H28"/>
    <mergeCell ref="I28:J28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  <mergeCell ref="M16:N16"/>
    <mergeCell ref="M27:N27"/>
    <mergeCell ref="M28:N28"/>
    <mergeCell ref="M29:N29"/>
    <mergeCell ref="M30:N30"/>
    <mergeCell ref="M31:N31"/>
    <mergeCell ref="M22:N22"/>
    <mergeCell ref="M23:N23"/>
    <mergeCell ref="M24:N24"/>
    <mergeCell ref="M25:N25"/>
    <mergeCell ref="M26:N26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4" sqref="M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9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IF(DAY(DicDom1)=1,DicDom1-6,DicDom1+1)</f>
        <v>44529</v>
      </c>
      <c r="D4" s="10">
        <f>IF(DAY(DicDom1)=1,DicDom1-5,DicDom1+2)</f>
        <v>44530</v>
      </c>
      <c r="E4" s="10">
        <f>IF(DAY(DicDom1)=1,DicDom1-4,DicDom1+3)</f>
        <v>44531</v>
      </c>
      <c r="F4" s="10">
        <f>IF(DAY(DicDom1)=1,DicDom1-3,DicDom1+4)</f>
        <v>44532</v>
      </c>
      <c r="G4" s="10">
        <f>IF(DAY(DicDom1)=1,DicDom1-2,DicDom1+5)</f>
        <v>44533</v>
      </c>
      <c r="H4" s="10">
        <f>IF(DAY(DicDom1)=1,DicDom1-1,DicDom1+6)</f>
        <v>44534</v>
      </c>
      <c r="I4" s="10">
        <f>IF(DAY(DicDom1)=1,DicDom1,DicDom1+7)</f>
        <v>44535</v>
      </c>
      <c r="J4" s="5"/>
      <c r="K4" s="91" t="s">
        <v>11</v>
      </c>
      <c r="L4" s="16">
        <v>7</v>
      </c>
    </row>
    <row r="5" spans="1:14" ht="18" customHeight="1" x14ac:dyDescent="0.2">
      <c r="A5" s="4"/>
      <c r="B5" s="85"/>
      <c r="C5" s="10">
        <f>IF(DAY(DicDom1)=1,DicDom1+1,DicDom1+8)</f>
        <v>44536</v>
      </c>
      <c r="D5" s="10">
        <f>IF(DAY(DicDom1)=1,DicDom1+2,DicDom1+9)</f>
        <v>44537</v>
      </c>
      <c r="E5" s="10">
        <f>IF(DAY(DicDom1)=1,DicDom1+3,DicDom1+10)</f>
        <v>44538</v>
      </c>
      <c r="F5" s="10">
        <f>IF(DAY(DicDom1)=1,DicDom1+4,DicDom1+11)</f>
        <v>44539</v>
      </c>
      <c r="G5" s="10">
        <f>IF(DAY(DicDom1)=1,DicDom1+5,DicDom1+12)</f>
        <v>44540</v>
      </c>
      <c r="H5" s="10">
        <f>IF(DAY(DicDom1)=1,DicDom1+6,DicDom1+13)</f>
        <v>44541</v>
      </c>
      <c r="I5" s="10">
        <f>IF(DAY(DicDom1)=1,DicDom1+7,DicDom1+14)</f>
        <v>44542</v>
      </c>
      <c r="J5" s="5"/>
      <c r="K5" s="81"/>
      <c r="L5" s="17">
        <v>14</v>
      </c>
    </row>
    <row r="6" spans="1:14" ht="18" customHeight="1" x14ac:dyDescent="0.2">
      <c r="A6" s="4"/>
      <c r="B6" s="85"/>
      <c r="C6" s="10">
        <f>IF(DAY(DicDom1)=1,DicDom1+8,DicDom1+15)</f>
        <v>44543</v>
      </c>
      <c r="D6" s="10">
        <f>IF(DAY(DicDom1)=1,DicDom1+9,DicDom1+16)</f>
        <v>44544</v>
      </c>
      <c r="E6" s="10">
        <f>IF(DAY(DicDom1)=1,DicDom1+10,DicDom1+17)</f>
        <v>44545</v>
      </c>
      <c r="F6" s="10">
        <f>IF(DAY(DicDom1)=1,DicDom1+11,DicDom1+18)</f>
        <v>44546</v>
      </c>
      <c r="G6" s="10">
        <f>IF(DAY(DicDom1)=1,DicDom1+12,DicDom1+19)</f>
        <v>44547</v>
      </c>
      <c r="H6" s="10">
        <f>IF(DAY(DicDom1)=1,DicDom1+13,DicDom1+20)</f>
        <v>44548</v>
      </c>
      <c r="I6" s="10">
        <f>IF(DAY(DicDom1)=1,DicDom1+14,DicDom1+21)</f>
        <v>44549</v>
      </c>
      <c r="J6" s="5"/>
      <c r="K6" s="81"/>
      <c r="L6" s="17">
        <v>21</v>
      </c>
    </row>
    <row r="7" spans="1:14" ht="18" customHeight="1" x14ac:dyDescent="0.2">
      <c r="A7" s="4"/>
      <c r="B7" s="85"/>
      <c r="C7" s="10">
        <f>IF(DAY(DicDom1)=1,DicDom1+15,DicDom1+22)</f>
        <v>44550</v>
      </c>
      <c r="D7" s="10">
        <f>IF(DAY(DicDom1)=1,DicDom1+16,DicDom1+23)</f>
        <v>44551</v>
      </c>
      <c r="E7" s="10">
        <f>IF(DAY(DicDom1)=1,DicDom1+17,DicDom1+24)</f>
        <v>44552</v>
      </c>
      <c r="F7" s="10">
        <f>IF(DAY(DicDom1)=1,DicDom1+18,DicDom1+25)</f>
        <v>44553</v>
      </c>
      <c r="G7" s="10">
        <f>IF(DAY(DicDom1)=1,DicDom1+19,DicDom1+26)</f>
        <v>44554</v>
      </c>
      <c r="H7" s="10">
        <f>IF(DAY(DicDom1)=1,DicDom1+20,DicDom1+27)</f>
        <v>44555</v>
      </c>
      <c r="I7" s="10">
        <f>IF(DAY(DicDom1)=1,DicDom1+21,DicDom1+28)</f>
        <v>44556</v>
      </c>
      <c r="J7" s="5"/>
      <c r="K7" s="11"/>
      <c r="L7" s="17">
        <v>28</v>
      </c>
    </row>
    <row r="8" spans="1:14" ht="18.75" customHeight="1" x14ac:dyDescent="0.2">
      <c r="A8" s="4"/>
      <c r="B8" s="85"/>
      <c r="C8" s="10">
        <f>IF(DAY(DicDom1)=1,DicDom1+22,DicDom1+29)</f>
        <v>44557</v>
      </c>
      <c r="D8" s="10">
        <f>IF(DAY(DicDom1)=1,DicDom1+23,DicDom1+30)</f>
        <v>44558</v>
      </c>
      <c r="E8" s="10">
        <f>IF(DAY(DicDom1)=1,DicDom1+24,DicDom1+31)</f>
        <v>44559</v>
      </c>
      <c r="F8" s="10">
        <f>IF(DAY(DicDom1)=1,DicDom1+25,DicDom1+32)</f>
        <v>44560</v>
      </c>
      <c r="G8" s="10">
        <f>IF(DAY(DicDom1)=1,DicDom1+26,DicDom1+33)</f>
        <v>44561</v>
      </c>
      <c r="H8" s="10">
        <f>IF(DAY(DicDom1)=1,DicDom1+27,DicDom1+34)</f>
        <v>44562</v>
      </c>
      <c r="I8" s="10">
        <f>IF(DAY(DicDom1)=1,DicDom1+28,DicDom1+35)</f>
        <v>44563</v>
      </c>
      <c r="J8" s="5"/>
      <c r="K8" s="11"/>
      <c r="L8" s="17"/>
    </row>
    <row r="9" spans="1:14" ht="18" customHeight="1" x14ac:dyDescent="0.2">
      <c r="A9" s="4"/>
      <c r="B9" s="85"/>
      <c r="C9" s="10">
        <f>IF(DAY(DicDom1)=1,DicDom1+29,DicDom1+36)</f>
        <v>44564</v>
      </c>
      <c r="D9" s="10">
        <f>IF(DAY(DicDom1)=1,DicDom1+30,DicDom1+37)</f>
        <v>44565</v>
      </c>
      <c r="E9" s="10">
        <f>IF(DAY(DicDom1)=1,DicDom1+31,DicDom1+38)</f>
        <v>44566</v>
      </c>
      <c r="F9" s="10">
        <f>IF(DAY(DicDom1)=1,DicDom1+32,DicDom1+39)</f>
        <v>44567</v>
      </c>
      <c r="G9" s="10">
        <f>IF(DAY(DicDom1)=1,DicDom1+33,DicDom1+40)</f>
        <v>44568</v>
      </c>
      <c r="H9" s="10">
        <f>IF(DAY(DicDom1)=1,DicDom1+34,DicDom1+41)</f>
        <v>44569</v>
      </c>
      <c r="I9" s="10">
        <f>IF(DAY(DicDom1)=1,DicDom1+35,DicDom1+42)</f>
        <v>44570</v>
      </c>
      <c r="J9" s="5"/>
      <c r="K9" s="12"/>
      <c r="L9" s="18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1</v>
      </c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8</v>
      </c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15</v>
      </c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22</v>
      </c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>
        <v>29</v>
      </c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/>
    </row>
    <row r="17" spans="2:13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2</v>
      </c>
    </row>
    <row r="18" spans="2:13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9</v>
      </c>
    </row>
    <row r="19" spans="2:13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16</v>
      </c>
    </row>
    <row r="20" spans="2:13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23</v>
      </c>
    </row>
    <row r="21" spans="2:13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>
        <v>30</v>
      </c>
    </row>
    <row r="22" spans="2:13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/>
    </row>
    <row r="23" spans="2:13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3</v>
      </c>
    </row>
    <row r="24" spans="2:13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10</v>
      </c>
    </row>
    <row r="25" spans="2:13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17</v>
      </c>
    </row>
    <row r="26" spans="2:13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>
        <v>24</v>
      </c>
    </row>
    <row r="27" spans="2:13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>
        <v>31</v>
      </c>
    </row>
    <row r="28" spans="2:13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/>
    </row>
    <row r="29" spans="2:13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4</v>
      </c>
    </row>
    <row r="30" spans="2:13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11</v>
      </c>
    </row>
    <row r="31" spans="2:13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18</v>
      </c>
    </row>
    <row r="32" spans="2:13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25</v>
      </c>
      <c r="M32" s="1" t="s">
        <v>46</v>
      </c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93">
    <mergeCell ref="B11:J12"/>
    <mergeCell ref="C13:D13"/>
    <mergeCell ref="E13:F13"/>
    <mergeCell ref="G13:H13"/>
    <mergeCell ref="I13:J13"/>
    <mergeCell ref="B2:B10"/>
    <mergeCell ref="K2:M3"/>
    <mergeCell ref="K4:K6"/>
    <mergeCell ref="K10:K12"/>
    <mergeCell ref="G17:H17"/>
    <mergeCell ref="I17:J17"/>
    <mergeCell ref="C14:D14"/>
    <mergeCell ref="E14:F14"/>
    <mergeCell ref="G14:H14"/>
    <mergeCell ref="I14:J14"/>
    <mergeCell ref="C15:D15"/>
    <mergeCell ref="E15:F15"/>
    <mergeCell ref="G15:H15"/>
    <mergeCell ref="I15:J15"/>
    <mergeCell ref="C19:D19"/>
    <mergeCell ref="E19:F19"/>
    <mergeCell ref="G19:H19"/>
    <mergeCell ref="I19:J19"/>
    <mergeCell ref="C20:D20"/>
    <mergeCell ref="E20:F20"/>
    <mergeCell ref="G20:H20"/>
    <mergeCell ref="I20:J20"/>
    <mergeCell ref="C18:D18"/>
    <mergeCell ref="E18:F18"/>
    <mergeCell ref="G18:H18"/>
    <mergeCell ref="I18:J18"/>
    <mergeCell ref="C16:D16"/>
    <mergeCell ref="E16:F16"/>
    <mergeCell ref="G16:H16"/>
    <mergeCell ref="I16:J16"/>
    <mergeCell ref="K16:K18"/>
    <mergeCell ref="C17:D17"/>
    <mergeCell ref="E17:F17"/>
    <mergeCell ref="I23:J23"/>
    <mergeCell ref="C21:D21"/>
    <mergeCell ref="E21:F21"/>
    <mergeCell ref="G21:H21"/>
    <mergeCell ref="I21:J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C25:D25"/>
    <mergeCell ref="E25:F25"/>
    <mergeCell ref="G25:H25"/>
    <mergeCell ref="C30:D30"/>
    <mergeCell ref="E30:F30"/>
    <mergeCell ref="G30:H30"/>
    <mergeCell ref="I30:J30"/>
    <mergeCell ref="C28:D28"/>
    <mergeCell ref="E28:F28"/>
    <mergeCell ref="G28:H28"/>
    <mergeCell ref="I28:J28"/>
    <mergeCell ref="K28:K30"/>
    <mergeCell ref="C29:D29"/>
    <mergeCell ref="E29:F29"/>
    <mergeCell ref="G29:H29"/>
    <mergeCell ref="I29:J29"/>
    <mergeCell ref="I25:J25"/>
    <mergeCell ref="C26:D26"/>
    <mergeCell ref="E26:F26"/>
    <mergeCell ref="G26:H26"/>
    <mergeCell ref="I26:J26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C32:D32"/>
    <mergeCell ref="E32:F32"/>
    <mergeCell ref="G32:H32"/>
    <mergeCell ref="I32:J32"/>
    <mergeCell ref="C27:D27"/>
    <mergeCell ref="E27:F27"/>
    <mergeCell ref="G27:H27"/>
    <mergeCell ref="I27:J27"/>
    <mergeCell ref="C23:D23"/>
    <mergeCell ref="E23:F23"/>
    <mergeCell ref="G23:H23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M30" sqref="M30:N30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25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IF(DAY(FebDom1)=1,FebDom1-6,FebDom1+1)</f>
        <v>44228</v>
      </c>
      <c r="D4" s="10">
        <f>IF(DAY(FebDom1)=1,FebDom1-5,FebDom1+2)</f>
        <v>44229</v>
      </c>
      <c r="E4" s="10">
        <f>IF(DAY(FebDom1)=1,FebDom1-4,FebDom1+3)</f>
        <v>44230</v>
      </c>
      <c r="F4" s="10">
        <f>IF(DAY(FebDom1)=1,FebDom1-3,FebDom1+4)</f>
        <v>44231</v>
      </c>
      <c r="G4" s="10">
        <f>IF(DAY(FebDom1)=1,FebDom1-2,FebDom1+5)</f>
        <v>44232</v>
      </c>
      <c r="H4" s="10">
        <f>IF(DAY(FebDom1)=1,FebDom1-1,FebDom1+6)</f>
        <v>44233</v>
      </c>
      <c r="I4" s="10">
        <f>IF(DAY(FebDom1)=1,FebDom1,FebDom1+7)</f>
        <v>44234</v>
      </c>
      <c r="J4" s="5"/>
      <c r="K4" s="91" t="s">
        <v>11</v>
      </c>
      <c r="L4" s="16">
        <v>1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IF(DAY(FebDom1)=1,FebDom1+1,FebDom1+8)</f>
        <v>44235</v>
      </c>
      <c r="D5" s="10">
        <f>IF(DAY(FebDom1)=1,FebDom1+2,FebDom1+9)</f>
        <v>44236</v>
      </c>
      <c r="E5" s="10">
        <f>IF(DAY(FebDom1)=1,FebDom1+3,FebDom1+10)</f>
        <v>44237</v>
      </c>
      <c r="F5" s="10">
        <f>IF(DAY(FebDom1)=1,FebDom1+4,FebDom1+11)</f>
        <v>44238</v>
      </c>
      <c r="G5" s="10">
        <f>IF(DAY(FebDom1)=1,FebDom1+5,FebDom1+12)</f>
        <v>44239</v>
      </c>
      <c r="H5" s="10">
        <f>IF(DAY(FebDom1)=1,FebDom1+6,FebDom1+13)</f>
        <v>44240</v>
      </c>
      <c r="I5" s="10">
        <f>IF(DAY(FebDom1)=1,FebDom1+7,FebDom1+14)</f>
        <v>44241</v>
      </c>
      <c r="J5" s="5"/>
      <c r="K5" s="81"/>
      <c r="L5" s="17">
        <v>8</v>
      </c>
      <c r="M5" s="41" t="s">
        <v>33</v>
      </c>
      <c r="N5" s="42"/>
    </row>
    <row r="6" spans="1:14" ht="18" customHeight="1" x14ac:dyDescent="0.2">
      <c r="A6" s="4"/>
      <c r="B6" s="85"/>
      <c r="C6" s="10">
        <f>IF(DAY(FebDom1)=1,FebDom1+8,FebDom1+15)</f>
        <v>44242</v>
      </c>
      <c r="D6" s="10">
        <f>IF(DAY(FebDom1)=1,FebDom1+9,FebDom1+16)</f>
        <v>44243</v>
      </c>
      <c r="E6" s="10">
        <f>IF(DAY(FebDom1)=1,FebDom1+10,FebDom1+17)</f>
        <v>44244</v>
      </c>
      <c r="F6" s="10">
        <f>IF(DAY(FebDom1)=1,FebDom1+11,FebDom1+18)</f>
        <v>44245</v>
      </c>
      <c r="G6" s="10">
        <f>IF(DAY(FebDom1)=1,FebDom1+12,FebDom1+19)</f>
        <v>44246</v>
      </c>
      <c r="H6" s="10">
        <f>IF(DAY(FebDom1)=1,FebDom1+13,FebDom1+20)</f>
        <v>44247</v>
      </c>
      <c r="I6" s="10">
        <f>IF(DAY(FebDom1)=1,FebDom1+14,FebDom1+21)</f>
        <v>44248</v>
      </c>
      <c r="J6" s="5"/>
      <c r="K6" s="81"/>
      <c r="L6" s="17">
        <v>15</v>
      </c>
      <c r="M6" s="41" t="s">
        <v>27</v>
      </c>
      <c r="N6" s="42"/>
    </row>
    <row r="7" spans="1:14" ht="18" customHeight="1" x14ac:dyDescent="0.2">
      <c r="A7" s="4"/>
      <c r="B7" s="85"/>
      <c r="C7" s="10">
        <f>IF(DAY(FebDom1)=1,FebDom1+15,FebDom1+22)</f>
        <v>44249</v>
      </c>
      <c r="D7" s="10">
        <f>IF(DAY(FebDom1)=1,FebDom1+16,FebDom1+23)</f>
        <v>44250</v>
      </c>
      <c r="E7" s="10">
        <f>IF(DAY(FebDom1)=1,FebDom1+17,FebDom1+24)</f>
        <v>44251</v>
      </c>
      <c r="F7" s="10">
        <f>IF(DAY(FebDom1)=1,FebDom1+18,FebDom1+25)</f>
        <v>44252</v>
      </c>
      <c r="G7" s="10">
        <f>IF(DAY(FebDom1)=1,FebDom1+19,FebDom1+26)</f>
        <v>44253</v>
      </c>
      <c r="H7" s="10">
        <f>IF(DAY(FebDom1)=1,FebDom1+20,FebDom1+27)</f>
        <v>44254</v>
      </c>
      <c r="I7" s="10">
        <f>IF(DAY(FebDom1)=1,FebDom1+21,FebDom1+28)</f>
        <v>44255</v>
      </c>
      <c r="J7" s="5"/>
      <c r="K7" s="11"/>
      <c r="L7" s="17">
        <v>22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IF(DAY(FebDom1)=1,FebDom1+22,FebDom1+29)</f>
        <v>44256</v>
      </c>
      <c r="D8" s="10">
        <f>IF(DAY(FebDom1)=1,FebDom1+23,FebDom1+30)</f>
        <v>44257</v>
      </c>
      <c r="E8" s="10">
        <f>IF(DAY(FebDom1)=1,FebDom1+24,FebDom1+31)</f>
        <v>44258</v>
      </c>
      <c r="F8" s="10">
        <f>IF(DAY(FebDom1)=1,FebDom1+25,FebDom1+32)</f>
        <v>44259</v>
      </c>
      <c r="G8" s="10">
        <f>IF(DAY(FebDom1)=1,FebDom1+26,FebDom1+33)</f>
        <v>44260</v>
      </c>
      <c r="H8" s="10">
        <f>IF(DAY(FebDom1)=1,FebDom1+27,FebDom1+34)</f>
        <v>44261</v>
      </c>
      <c r="I8" s="10">
        <f>IF(DAY(FebDom1)=1,FebDom1+28,FebDom1+35)</f>
        <v>44262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IF(DAY(FebDom1)=1,FebDom1+29,FebDom1+36)</f>
        <v>44263</v>
      </c>
      <c r="D9" s="10">
        <f>IF(DAY(FebDom1)=1,FebDom1+30,FebDom1+37)</f>
        <v>44264</v>
      </c>
      <c r="E9" s="10">
        <f>IF(DAY(FebDom1)=1,FebDom1+31,FebDom1+38)</f>
        <v>44265</v>
      </c>
      <c r="F9" s="10">
        <f>IF(DAY(FebDom1)=1,FebDom1+32,FebDom1+39)</f>
        <v>44266</v>
      </c>
      <c r="G9" s="10">
        <f>IF(DAY(FebDom1)=1,FebDom1+33,FebDom1+40)</f>
        <v>44267</v>
      </c>
      <c r="H9" s="10">
        <f>IF(DAY(FebDom1)=1,FebDom1+34,FebDom1+41)</f>
        <v>44268</v>
      </c>
      <c r="I9" s="10">
        <f>IF(DAY(FebDom1)=1,FebDom1+35,FebDom1+42)</f>
        <v>44269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2</v>
      </c>
      <c r="M10" s="41" t="s">
        <v>35</v>
      </c>
      <c r="N10" s="42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9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16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23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/>
      <c r="M14" s="41"/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3</v>
      </c>
      <c r="M16" s="100" t="s">
        <v>52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10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17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24</v>
      </c>
      <c r="M19" s="41" t="s">
        <v>35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/>
      <c r="M20" s="102"/>
      <c r="N20" s="103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102"/>
      <c r="N21" s="103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4</v>
      </c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11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18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25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100"/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100"/>
      <c r="N27" s="10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5</v>
      </c>
      <c r="M28" s="100" t="s">
        <v>45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12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19</v>
      </c>
      <c r="M30" s="41" t="s">
        <v>26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26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30:N30"/>
    <mergeCell ref="M28:N28"/>
    <mergeCell ref="M25:N25"/>
    <mergeCell ref="M26:N26"/>
    <mergeCell ref="M19:N19"/>
    <mergeCell ref="M27:N27"/>
    <mergeCell ref="M22:N22"/>
    <mergeCell ref="M23:N23"/>
    <mergeCell ref="M21:N21"/>
    <mergeCell ref="M24:N24"/>
    <mergeCell ref="M15:N15"/>
    <mergeCell ref="M29:N29"/>
    <mergeCell ref="M14:N14"/>
    <mergeCell ref="M20:N20"/>
    <mergeCell ref="M17:N17"/>
    <mergeCell ref="M18:N18"/>
    <mergeCell ref="M16:N16"/>
    <mergeCell ref="M12:N12"/>
    <mergeCell ref="M13:N13"/>
    <mergeCell ref="M5:N5"/>
    <mergeCell ref="M6:N6"/>
    <mergeCell ref="M7:N7"/>
    <mergeCell ref="M8:N8"/>
    <mergeCell ref="M9:N9"/>
    <mergeCell ref="B2:B10"/>
    <mergeCell ref="K2:M3"/>
    <mergeCell ref="K4:K6"/>
    <mergeCell ref="K10:K12"/>
    <mergeCell ref="C14:D14"/>
    <mergeCell ref="E14:F14"/>
    <mergeCell ref="G14:H14"/>
    <mergeCell ref="I14:J14"/>
    <mergeCell ref="B11:J12"/>
    <mergeCell ref="C13:D13"/>
    <mergeCell ref="E13:F13"/>
    <mergeCell ref="G13:H13"/>
    <mergeCell ref="I13:J13"/>
    <mergeCell ref="M4:N4"/>
    <mergeCell ref="M10:N10"/>
    <mergeCell ref="M11:N11"/>
    <mergeCell ref="C15:D15"/>
    <mergeCell ref="E15:F15"/>
    <mergeCell ref="G15:H15"/>
    <mergeCell ref="I15:J15"/>
    <mergeCell ref="C18:D18"/>
    <mergeCell ref="E18:F18"/>
    <mergeCell ref="G18:H18"/>
    <mergeCell ref="I18:J18"/>
    <mergeCell ref="C16:D16"/>
    <mergeCell ref="E16:F16"/>
    <mergeCell ref="G16:H16"/>
    <mergeCell ref="I16:J16"/>
    <mergeCell ref="K16:K18"/>
    <mergeCell ref="C17:D17"/>
    <mergeCell ref="E17:F17"/>
    <mergeCell ref="G17:H17"/>
    <mergeCell ref="I17:J17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C25:D25"/>
    <mergeCell ref="E25:F25"/>
    <mergeCell ref="G25:H25"/>
    <mergeCell ref="I25:J25"/>
    <mergeCell ref="C23:D23"/>
    <mergeCell ref="E23:F23"/>
    <mergeCell ref="G23:H23"/>
    <mergeCell ref="I23:J23"/>
    <mergeCell ref="C26:D26"/>
    <mergeCell ref="E26:F26"/>
    <mergeCell ref="G26:H26"/>
    <mergeCell ref="I26:J26"/>
    <mergeCell ref="C27:D27"/>
    <mergeCell ref="E27:F27"/>
    <mergeCell ref="G27:H27"/>
    <mergeCell ref="I27:J27"/>
    <mergeCell ref="K28:K30"/>
    <mergeCell ref="C29:D29"/>
    <mergeCell ref="E29:F29"/>
    <mergeCell ref="G29:H29"/>
    <mergeCell ref="I29:J29"/>
    <mergeCell ref="C30:D30"/>
    <mergeCell ref="E30:F30"/>
    <mergeCell ref="G30:H30"/>
    <mergeCell ref="I30:J30"/>
    <mergeCell ref="C28:D28"/>
    <mergeCell ref="E28:F28"/>
    <mergeCell ref="G28:H28"/>
    <mergeCell ref="I28:J28"/>
    <mergeCell ref="C33:D33"/>
    <mergeCell ref="E33:F33"/>
    <mergeCell ref="G33:H33"/>
    <mergeCell ref="I33:J33"/>
    <mergeCell ref="M33:N33"/>
    <mergeCell ref="M32:N32"/>
    <mergeCell ref="C31:D31"/>
    <mergeCell ref="E31:F31"/>
    <mergeCell ref="G31:H31"/>
    <mergeCell ref="I31:J31"/>
    <mergeCell ref="C32:D32"/>
    <mergeCell ref="E32:F32"/>
    <mergeCell ref="G32:H32"/>
    <mergeCell ref="I32:J32"/>
    <mergeCell ref="M31:N31"/>
  </mergeCells>
  <conditionalFormatting sqref="C4:H4">
    <cfRule type="expression" dxfId="43" priority="3" stopIfTrue="1">
      <formula>DAY(C4)&gt;8</formula>
    </cfRule>
  </conditionalFormatting>
  <conditionalFormatting sqref="C8:I10">
    <cfRule type="expression" dxfId="42" priority="2" stopIfTrue="1">
      <formula>AND(DAY(C8)&gt;=1,DAY(C8)&lt;=15)</formula>
    </cfRule>
  </conditionalFormatting>
  <conditionalFormatting sqref="C4:I9">
    <cfRule type="expression" dxfId="41" priority="4">
      <formula>VLOOKUP(DAY(C4),DíasDeTareas,1,FALSE)=DAY(C4)</formula>
    </cfRule>
  </conditionalFormatting>
  <conditionalFormatting sqref="B14:J33">
    <cfRule type="expression" dxfId="4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6" zoomScaleNormal="100" zoomScalePageLayoutView="84" workbookViewId="0">
      <selection activeCell="M31" sqref="M31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24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IF(DAY(MarDom1)=1,MarDom1-6,MarDom1+1)</f>
        <v>44256</v>
      </c>
      <c r="D4" s="10">
        <f>IF(DAY(MarDom1)=1,MarDom1-5,MarDom1+2)</f>
        <v>44257</v>
      </c>
      <c r="E4" s="10">
        <f>IF(DAY(MarDom1)=1,MarDom1-4,MarDom1+3)</f>
        <v>44258</v>
      </c>
      <c r="F4" s="10">
        <f>IF(DAY(MarDom1)=1,MarDom1-3,MarDom1+4)</f>
        <v>44259</v>
      </c>
      <c r="G4" s="10">
        <f>IF(DAY(MarDom1)=1,MarDom1-2,MarDom1+5)</f>
        <v>44260</v>
      </c>
      <c r="H4" s="10">
        <f>IF(DAY(MarDom1)=1,MarDom1-1,MarDom1+6)</f>
        <v>44261</v>
      </c>
      <c r="I4" s="10">
        <f>IF(DAY(MarDom1)=1,MarDom1,MarDom1+7)</f>
        <v>44262</v>
      </c>
      <c r="J4" s="5"/>
      <c r="K4" s="91" t="s">
        <v>11</v>
      </c>
      <c r="L4" s="16">
        <v>1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IF(DAY(MarDom1)=1,MarDom1+1,MarDom1+8)</f>
        <v>44263</v>
      </c>
      <c r="D5" s="10">
        <f>IF(DAY(MarDom1)=1,MarDom1+2,MarDom1+9)</f>
        <v>44264</v>
      </c>
      <c r="E5" s="10">
        <f>IF(DAY(MarDom1)=1,MarDom1+3,MarDom1+10)</f>
        <v>44265</v>
      </c>
      <c r="F5" s="10">
        <f>IF(DAY(MarDom1)=1,MarDom1+4,MarDom1+11)</f>
        <v>44266</v>
      </c>
      <c r="G5" s="10">
        <f>IF(DAY(MarDom1)=1,MarDom1+5,MarDom1+12)</f>
        <v>44267</v>
      </c>
      <c r="H5" s="10">
        <f>IF(DAY(MarDom1)=1,MarDom1+6,MarDom1+13)</f>
        <v>44268</v>
      </c>
      <c r="I5" s="10">
        <f>IF(DAY(MarDom1)=1,MarDom1+7,MarDom1+14)</f>
        <v>44269</v>
      </c>
      <c r="J5" s="5"/>
      <c r="K5" s="81"/>
      <c r="L5" s="17">
        <v>8</v>
      </c>
      <c r="M5" s="41" t="s">
        <v>33</v>
      </c>
      <c r="N5" s="42"/>
    </row>
    <row r="6" spans="1:14" ht="18" customHeight="1" x14ac:dyDescent="0.2">
      <c r="A6" s="4"/>
      <c r="B6" s="85"/>
      <c r="C6" s="10">
        <f>IF(DAY(MarDom1)=1,MarDom1+8,MarDom1+15)</f>
        <v>44270</v>
      </c>
      <c r="D6" s="10">
        <f>IF(DAY(MarDom1)=1,MarDom1+9,MarDom1+16)</f>
        <v>44271</v>
      </c>
      <c r="E6" s="10">
        <f>IF(DAY(MarDom1)=1,MarDom1+10,MarDom1+17)</f>
        <v>44272</v>
      </c>
      <c r="F6" s="10">
        <f>IF(DAY(MarDom1)=1,MarDom1+11,MarDom1+18)</f>
        <v>44273</v>
      </c>
      <c r="G6" s="10">
        <f>IF(DAY(MarDom1)=1,MarDom1+12,MarDom1+19)</f>
        <v>44274</v>
      </c>
      <c r="H6" s="10">
        <f>IF(DAY(MarDom1)=1,MarDom1+13,MarDom1+20)</f>
        <v>44275</v>
      </c>
      <c r="I6" s="10">
        <f>IF(DAY(MarDom1)=1,MarDom1+14,MarDom1+21)</f>
        <v>44276</v>
      </c>
      <c r="J6" s="5"/>
      <c r="K6" s="81"/>
      <c r="L6" s="17">
        <v>15</v>
      </c>
      <c r="M6" s="41" t="s">
        <v>27</v>
      </c>
      <c r="N6" s="42"/>
    </row>
    <row r="7" spans="1:14" ht="18" customHeight="1" x14ac:dyDescent="0.2">
      <c r="A7" s="4"/>
      <c r="B7" s="85"/>
      <c r="C7" s="10">
        <f>IF(DAY(MarDom1)=1,MarDom1+15,MarDom1+22)</f>
        <v>44277</v>
      </c>
      <c r="D7" s="10">
        <f>IF(DAY(MarDom1)=1,MarDom1+16,MarDom1+23)</f>
        <v>44278</v>
      </c>
      <c r="E7" s="10">
        <f>IF(DAY(MarDom1)=1,MarDom1+17,MarDom1+24)</f>
        <v>44279</v>
      </c>
      <c r="F7" s="10">
        <f>IF(DAY(MarDom1)=1,MarDom1+18,MarDom1+25)</f>
        <v>44280</v>
      </c>
      <c r="G7" s="10">
        <f>IF(DAY(MarDom1)=1,MarDom1+19,MarDom1+26)</f>
        <v>44281</v>
      </c>
      <c r="H7" s="10">
        <f>IF(DAY(MarDom1)=1,MarDom1+20,MarDom1+27)</f>
        <v>44282</v>
      </c>
      <c r="I7" s="10">
        <f>IF(DAY(MarDom1)=1,MarDom1+21,MarDom1+28)</f>
        <v>44283</v>
      </c>
      <c r="J7" s="5"/>
      <c r="K7" s="11"/>
      <c r="L7" s="17">
        <v>22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IF(DAY(MarDom1)=1,MarDom1+22,MarDom1+29)</f>
        <v>44284</v>
      </c>
      <c r="D8" s="10">
        <f>IF(DAY(MarDom1)=1,MarDom1+23,MarDom1+30)</f>
        <v>44285</v>
      </c>
      <c r="E8" s="10">
        <f>IF(DAY(MarDom1)=1,MarDom1+24,MarDom1+31)</f>
        <v>44286</v>
      </c>
      <c r="F8" s="10">
        <f>IF(DAY(MarDom1)=1,MarDom1+25,MarDom1+32)</f>
        <v>44287</v>
      </c>
      <c r="G8" s="10">
        <f>IF(DAY(MarDom1)=1,MarDom1+26,MarDom1+33)</f>
        <v>44288</v>
      </c>
      <c r="H8" s="10">
        <f>IF(DAY(MarDom1)=1,MarDom1+27,MarDom1+34)</f>
        <v>44289</v>
      </c>
      <c r="I8" s="10">
        <f>IF(DAY(MarDom1)=1,MarDom1+28,MarDom1+35)</f>
        <v>44290</v>
      </c>
      <c r="J8" s="5"/>
      <c r="K8" s="11"/>
      <c r="L8" s="17">
        <v>29</v>
      </c>
      <c r="M8" s="41" t="s">
        <v>53</v>
      </c>
      <c r="N8" s="42"/>
    </row>
    <row r="9" spans="1:14" ht="18" customHeight="1" x14ac:dyDescent="0.2">
      <c r="A9" s="4"/>
      <c r="B9" s="85"/>
      <c r="C9" s="10">
        <f>IF(DAY(MarDom1)=1,MarDom1+29,MarDom1+36)</f>
        <v>44291</v>
      </c>
      <c r="D9" s="10">
        <f>IF(DAY(MarDom1)=1,MarDom1+30,MarDom1+37)</f>
        <v>44292</v>
      </c>
      <c r="E9" s="10">
        <f>IF(DAY(MarDom1)=1,MarDom1+31,MarDom1+38)</f>
        <v>44293</v>
      </c>
      <c r="F9" s="10">
        <f>IF(DAY(MarDom1)=1,MarDom1+32,MarDom1+39)</f>
        <v>44294</v>
      </c>
      <c r="G9" s="10">
        <f>IF(DAY(MarDom1)=1,MarDom1+33,MarDom1+40)</f>
        <v>44295</v>
      </c>
      <c r="H9" s="10">
        <f>IF(DAY(MarDom1)=1,MarDom1+34,MarDom1+41)</f>
        <v>44296</v>
      </c>
      <c r="I9" s="10">
        <f>IF(DAY(MarDom1)=1,MarDom1+35,MarDom1+42)</f>
        <v>44297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2</v>
      </c>
      <c r="M10" s="41" t="s">
        <v>35</v>
      </c>
      <c r="N10" s="42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9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16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23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30</v>
      </c>
      <c r="M14" s="41" t="s">
        <v>54</v>
      </c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3</v>
      </c>
      <c r="M16" s="100" t="s">
        <v>52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10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17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24</v>
      </c>
      <c r="M19" s="41" t="s">
        <v>55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31</v>
      </c>
      <c r="M20" s="102" t="s">
        <v>44</v>
      </c>
      <c r="N20" s="103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102"/>
      <c r="N21" s="103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/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4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11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18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1"/>
      <c r="H26" s="42"/>
      <c r="I26" s="45"/>
      <c r="J26" s="60"/>
      <c r="K26" s="11"/>
      <c r="L26" s="17">
        <v>25</v>
      </c>
      <c r="M26" s="100" t="s">
        <v>56</v>
      </c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100"/>
      <c r="N27" s="10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5</v>
      </c>
      <c r="M28" s="100" t="s">
        <v>45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12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19</v>
      </c>
      <c r="M30" s="41" t="s">
        <v>57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26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9" priority="3" stopIfTrue="1">
      <formula>DAY(C4)&gt;8</formula>
    </cfRule>
  </conditionalFormatting>
  <conditionalFormatting sqref="C8:I10">
    <cfRule type="expression" dxfId="38" priority="2" stopIfTrue="1">
      <formula>AND(DAY(C8)&gt;=1,DAY(C8)&lt;=15)</formula>
    </cfRule>
  </conditionalFormatting>
  <conditionalFormatting sqref="C4:I9">
    <cfRule type="expression" dxfId="37" priority="4">
      <formula>VLOOKUP(DAY(C4),DíasDeTareas,1,FALSE)=DAY(C4)</formula>
    </cfRule>
  </conditionalFormatting>
  <conditionalFormatting sqref="B14:J25 B27:J33 B26:F26 I26:J26">
    <cfRule type="expression" dxfId="3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4" sqref="M4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23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IF(DAY(AbrDom1)=1,AbrDom1-6,AbrDom1+1)</f>
        <v>44284</v>
      </c>
      <c r="D4" s="10">
        <f>IF(DAY(AbrDom1)=1,AbrDom1-5,AbrDom1+2)</f>
        <v>44285</v>
      </c>
      <c r="E4" s="10">
        <f>IF(DAY(AbrDom1)=1,AbrDom1-4,AbrDom1+3)</f>
        <v>44286</v>
      </c>
      <c r="F4" s="10">
        <f>IF(DAY(AbrDom1)=1,AbrDom1-3,AbrDom1+4)</f>
        <v>44287</v>
      </c>
      <c r="G4" s="10">
        <f>IF(DAY(AbrDom1)=1,AbrDom1-2,AbrDom1+5)</f>
        <v>44288</v>
      </c>
      <c r="H4" s="10">
        <f>IF(DAY(AbrDom1)=1,AbrDom1-1,AbrDom1+6)</f>
        <v>44289</v>
      </c>
      <c r="I4" s="10">
        <f>IF(DAY(AbrDom1)=1,AbrDom1,AbrDom1+7)</f>
        <v>44290</v>
      </c>
      <c r="J4" s="5"/>
      <c r="K4" s="91" t="s">
        <v>11</v>
      </c>
      <c r="L4" s="16">
        <v>5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IF(DAY(AbrDom1)=1,AbrDom1+1,AbrDom1+8)</f>
        <v>44291</v>
      </c>
      <c r="D5" s="10">
        <f>IF(DAY(AbrDom1)=1,AbrDom1+2,AbrDom1+9)</f>
        <v>44292</v>
      </c>
      <c r="E5" s="10">
        <f>IF(DAY(AbrDom1)=1,AbrDom1+3,AbrDom1+10)</f>
        <v>44293</v>
      </c>
      <c r="F5" s="10">
        <f>IF(DAY(AbrDom1)=1,AbrDom1+4,AbrDom1+11)</f>
        <v>44294</v>
      </c>
      <c r="G5" s="10">
        <f>IF(DAY(AbrDom1)=1,AbrDom1+5,AbrDom1+12)</f>
        <v>44295</v>
      </c>
      <c r="H5" s="10">
        <f>IF(DAY(AbrDom1)=1,AbrDom1+6,AbrDom1+13)</f>
        <v>44296</v>
      </c>
      <c r="I5" s="10">
        <f>IF(DAY(AbrDom1)=1,AbrDom1+7,AbrDom1+14)</f>
        <v>44297</v>
      </c>
      <c r="J5" s="5"/>
      <c r="K5" s="81"/>
      <c r="L5" s="17">
        <v>12</v>
      </c>
      <c r="M5" s="41" t="s">
        <v>33</v>
      </c>
      <c r="N5" s="42"/>
    </row>
    <row r="6" spans="1:14" ht="18" customHeight="1" x14ac:dyDescent="0.2">
      <c r="A6" s="4"/>
      <c r="B6" s="85"/>
      <c r="C6" s="10">
        <f>IF(DAY(AbrDom1)=1,AbrDom1+8,AbrDom1+15)</f>
        <v>44298</v>
      </c>
      <c r="D6" s="10">
        <f>IF(DAY(AbrDom1)=1,AbrDom1+9,AbrDom1+16)</f>
        <v>44299</v>
      </c>
      <c r="E6" s="10">
        <f>IF(DAY(AbrDom1)=1,AbrDom1+10,AbrDom1+17)</f>
        <v>44300</v>
      </c>
      <c r="F6" s="10">
        <f>IF(DAY(AbrDom1)=1,AbrDom1+11,AbrDom1+18)</f>
        <v>44301</v>
      </c>
      <c r="G6" s="10">
        <f>IF(DAY(AbrDom1)=1,AbrDom1+12,AbrDom1+19)</f>
        <v>44302</v>
      </c>
      <c r="H6" s="10">
        <f>IF(DAY(AbrDom1)=1,AbrDom1+13,AbrDom1+20)</f>
        <v>44303</v>
      </c>
      <c r="I6" s="10">
        <f>IF(DAY(AbrDom1)=1,AbrDom1+14,AbrDom1+21)</f>
        <v>44304</v>
      </c>
      <c r="J6" s="5"/>
      <c r="K6" s="81"/>
      <c r="L6" s="17">
        <v>19</v>
      </c>
      <c r="M6" s="41" t="s">
        <v>27</v>
      </c>
      <c r="N6" s="42"/>
    </row>
    <row r="7" spans="1:14" ht="18" customHeight="1" x14ac:dyDescent="0.2">
      <c r="A7" s="4"/>
      <c r="B7" s="85"/>
      <c r="C7" s="10">
        <f>IF(DAY(AbrDom1)=1,AbrDom1+15,AbrDom1+22)</f>
        <v>44305</v>
      </c>
      <c r="D7" s="10">
        <f>IF(DAY(AbrDom1)=1,AbrDom1+16,AbrDom1+23)</f>
        <v>44306</v>
      </c>
      <c r="E7" s="10">
        <f>IF(DAY(AbrDom1)=1,AbrDom1+17,AbrDom1+24)</f>
        <v>44307</v>
      </c>
      <c r="F7" s="10">
        <f>IF(DAY(AbrDom1)=1,AbrDom1+18,AbrDom1+25)</f>
        <v>44308</v>
      </c>
      <c r="G7" s="10">
        <f>IF(DAY(AbrDom1)=1,AbrDom1+19,AbrDom1+26)</f>
        <v>44309</v>
      </c>
      <c r="H7" s="10">
        <f>IF(DAY(AbrDom1)=1,AbrDom1+20,AbrDom1+27)</f>
        <v>44310</v>
      </c>
      <c r="I7" s="10">
        <f>IF(DAY(AbrDom1)=1,AbrDom1+21,AbrDom1+28)</f>
        <v>44311</v>
      </c>
      <c r="J7" s="5"/>
      <c r="K7" s="11"/>
      <c r="L7" s="17">
        <v>26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IF(DAY(AbrDom1)=1,AbrDom1+22,AbrDom1+29)</f>
        <v>44312</v>
      </c>
      <c r="D8" s="10">
        <f>IF(DAY(AbrDom1)=1,AbrDom1+23,AbrDom1+30)</f>
        <v>44313</v>
      </c>
      <c r="E8" s="10">
        <f>IF(DAY(AbrDom1)=1,AbrDom1+24,AbrDom1+31)</f>
        <v>44314</v>
      </c>
      <c r="F8" s="10">
        <f>IF(DAY(AbrDom1)=1,AbrDom1+25,AbrDom1+32)</f>
        <v>44315</v>
      </c>
      <c r="G8" s="10">
        <f>IF(DAY(AbrDom1)=1,AbrDom1+26,AbrDom1+33)</f>
        <v>44316</v>
      </c>
      <c r="H8" s="10">
        <f>IF(DAY(AbrDom1)=1,AbrDom1+27,AbrDom1+34)</f>
        <v>44317</v>
      </c>
      <c r="I8" s="10">
        <f>IF(DAY(AbrDom1)=1,AbrDom1+28,AbrDom1+35)</f>
        <v>44318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IF(DAY(AbrDom1)=1,AbrDom1+29,AbrDom1+36)</f>
        <v>44319</v>
      </c>
      <c r="D9" s="10">
        <f>IF(DAY(AbrDom1)=1,AbrDom1+30,AbrDom1+37)</f>
        <v>44320</v>
      </c>
      <c r="E9" s="10">
        <f>IF(DAY(AbrDom1)=1,AbrDom1+31,AbrDom1+38)</f>
        <v>44321</v>
      </c>
      <c r="F9" s="10">
        <f>IF(DAY(AbrDom1)=1,AbrDom1+32,AbrDom1+39)</f>
        <v>44322</v>
      </c>
      <c r="G9" s="10">
        <f>IF(DAY(AbrDom1)=1,AbrDom1+33,AbrDom1+40)</f>
        <v>44323</v>
      </c>
      <c r="H9" s="10">
        <f>IF(DAY(AbrDom1)=1,AbrDom1+34,AbrDom1+41)</f>
        <v>44324</v>
      </c>
      <c r="I9" s="10">
        <f>IF(DAY(AbrDom1)=1,AbrDom1+35,AbrDom1+42)</f>
        <v>44325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6</v>
      </c>
      <c r="M10" s="41" t="s">
        <v>35</v>
      </c>
      <c r="N10" s="42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13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20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27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/>
      <c r="M14" s="41"/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7</v>
      </c>
      <c r="M16" s="100" t="s">
        <v>52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14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21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28</v>
      </c>
      <c r="M19" s="41" t="s">
        <v>29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/>
      <c r="M20" s="102"/>
      <c r="N20" s="103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102"/>
      <c r="N21" s="103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1</v>
      </c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8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15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22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>
        <v>29</v>
      </c>
      <c r="M26" s="100"/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100"/>
      <c r="N27" s="10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2</v>
      </c>
      <c r="M28" s="100" t="s">
        <v>45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9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16</v>
      </c>
      <c r="M30" s="41" t="s">
        <v>26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23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30</v>
      </c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5" priority="3" stopIfTrue="1">
      <formula>DAY(C4)&gt;8</formula>
    </cfRule>
  </conditionalFormatting>
  <conditionalFormatting sqref="C8:I10">
    <cfRule type="expression" dxfId="34" priority="2" stopIfTrue="1">
      <formula>AND(DAY(C8)&gt;=1,DAY(C8)&lt;=15)</formula>
    </cfRule>
  </conditionalFormatting>
  <conditionalFormatting sqref="C4:I9">
    <cfRule type="expression" dxfId="33" priority="4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4" zoomScaleNormal="100" zoomScalePageLayoutView="84" workbookViewId="0">
      <selection activeCell="M31" sqref="M31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22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IF(DAY(MayDom1)=1,MayDom1-6,MayDom1+1)</f>
        <v>44312</v>
      </c>
      <c r="D4" s="10">
        <f>IF(DAY(MayDom1)=1,MayDom1-5,MayDom1+2)</f>
        <v>44313</v>
      </c>
      <c r="E4" s="10">
        <f>IF(DAY(MayDom1)=1,MayDom1-4,MayDom1+3)</f>
        <v>44314</v>
      </c>
      <c r="F4" s="10">
        <f>IF(DAY(MayDom1)=1,MayDom1-3,MayDom1+4)</f>
        <v>44315</v>
      </c>
      <c r="G4" s="10">
        <f>IF(DAY(MayDom1)=1,MayDom1-2,MayDom1+5)</f>
        <v>44316</v>
      </c>
      <c r="H4" s="10">
        <f>IF(DAY(MayDom1)=1,MayDom1-1,MayDom1+6)</f>
        <v>44317</v>
      </c>
      <c r="I4" s="10">
        <f>IF(DAY(MayDom1)=1,MayDom1,MayDom1+7)</f>
        <v>44318</v>
      </c>
      <c r="J4" s="5"/>
      <c r="K4" s="91" t="s">
        <v>11</v>
      </c>
      <c r="L4" s="16">
        <v>3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IF(DAY(MayDom1)=1,MayDom1+1,MayDom1+8)</f>
        <v>44319</v>
      </c>
      <c r="D5" s="10">
        <f>IF(DAY(MayDom1)=1,MayDom1+2,MayDom1+9)</f>
        <v>44320</v>
      </c>
      <c r="E5" s="10">
        <f>IF(DAY(MayDom1)=1,MayDom1+3,MayDom1+10)</f>
        <v>44321</v>
      </c>
      <c r="F5" s="10">
        <f>IF(DAY(MayDom1)=1,MayDom1+4,MayDom1+11)</f>
        <v>44322</v>
      </c>
      <c r="G5" s="10">
        <f>IF(DAY(MayDom1)=1,MayDom1+5,MayDom1+12)</f>
        <v>44323</v>
      </c>
      <c r="H5" s="10">
        <f>IF(DAY(MayDom1)=1,MayDom1+6,MayDom1+13)</f>
        <v>44324</v>
      </c>
      <c r="I5" s="10">
        <f>IF(DAY(MayDom1)=1,MayDom1+7,MayDom1+14)</f>
        <v>44325</v>
      </c>
      <c r="J5" s="5"/>
      <c r="K5" s="81"/>
      <c r="L5" s="17">
        <v>10</v>
      </c>
      <c r="M5" s="41" t="s">
        <v>33</v>
      </c>
      <c r="N5" s="42"/>
    </row>
    <row r="6" spans="1:14" ht="18" customHeight="1" x14ac:dyDescent="0.2">
      <c r="A6" s="4"/>
      <c r="B6" s="85"/>
      <c r="C6" s="10">
        <f>IF(DAY(MayDom1)=1,MayDom1+8,MayDom1+15)</f>
        <v>44326</v>
      </c>
      <c r="D6" s="10">
        <f>IF(DAY(MayDom1)=1,MayDom1+9,MayDom1+16)</f>
        <v>44327</v>
      </c>
      <c r="E6" s="10">
        <f>IF(DAY(MayDom1)=1,MayDom1+10,MayDom1+17)</f>
        <v>44328</v>
      </c>
      <c r="F6" s="10">
        <f>IF(DAY(MayDom1)=1,MayDom1+11,MayDom1+18)</f>
        <v>44329</v>
      </c>
      <c r="G6" s="10">
        <f>IF(DAY(MayDom1)=1,MayDom1+12,MayDom1+19)</f>
        <v>44330</v>
      </c>
      <c r="H6" s="10">
        <f>IF(DAY(MayDom1)=1,MayDom1+13,MayDom1+20)</f>
        <v>44331</v>
      </c>
      <c r="I6" s="10">
        <f>IF(DAY(MayDom1)=1,MayDom1+14,MayDom1+21)</f>
        <v>44332</v>
      </c>
      <c r="J6" s="5"/>
      <c r="K6" s="81"/>
      <c r="L6" s="17">
        <v>17</v>
      </c>
      <c r="M6" s="41" t="s">
        <v>27</v>
      </c>
      <c r="N6" s="42"/>
    </row>
    <row r="7" spans="1:14" ht="18" customHeight="1" x14ac:dyDescent="0.2">
      <c r="A7" s="4"/>
      <c r="B7" s="85"/>
      <c r="C7" s="10">
        <f>IF(DAY(MayDom1)=1,MayDom1+15,MayDom1+22)</f>
        <v>44333</v>
      </c>
      <c r="D7" s="10">
        <f>IF(DAY(MayDom1)=1,MayDom1+16,MayDom1+23)</f>
        <v>44334</v>
      </c>
      <c r="E7" s="10">
        <f>IF(DAY(MayDom1)=1,MayDom1+17,MayDom1+24)</f>
        <v>44335</v>
      </c>
      <c r="F7" s="10">
        <f>IF(DAY(MayDom1)=1,MayDom1+18,MayDom1+25)</f>
        <v>44336</v>
      </c>
      <c r="G7" s="10">
        <f>IF(DAY(MayDom1)=1,MayDom1+19,MayDom1+26)</f>
        <v>44337</v>
      </c>
      <c r="H7" s="10">
        <f>IF(DAY(MayDom1)=1,MayDom1+20,MayDom1+27)</f>
        <v>44338</v>
      </c>
      <c r="I7" s="10">
        <f>IF(DAY(MayDom1)=1,MayDom1+21,MayDom1+28)</f>
        <v>44339</v>
      </c>
      <c r="J7" s="5"/>
      <c r="K7" s="11"/>
      <c r="L7" s="17">
        <v>24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IF(DAY(MayDom1)=1,MayDom1+22,MayDom1+29)</f>
        <v>44340</v>
      </c>
      <c r="D8" s="10">
        <f>IF(DAY(MayDom1)=1,MayDom1+23,MayDom1+30)</f>
        <v>44341</v>
      </c>
      <c r="E8" s="10">
        <f>IF(DAY(MayDom1)=1,MayDom1+24,MayDom1+31)</f>
        <v>44342</v>
      </c>
      <c r="F8" s="10">
        <f>IF(DAY(MayDom1)=1,MayDom1+25,MayDom1+32)</f>
        <v>44343</v>
      </c>
      <c r="G8" s="10">
        <f>IF(DAY(MayDom1)=1,MayDom1+26,MayDom1+33)</f>
        <v>44344</v>
      </c>
      <c r="H8" s="10">
        <f>IF(DAY(MayDom1)=1,MayDom1+27,MayDom1+34)</f>
        <v>44345</v>
      </c>
      <c r="I8" s="10">
        <f>IF(DAY(MayDom1)=1,MayDom1+28,MayDom1+35)</f>
        <v>44346</v>
      </c>
      <c r="J8" s="5"/>
      <c r="K8" s="11"/>
      <c r="L8" s="17">
        <v>31</v>
      </c>
      <c r="M8" s="41" t="s">
        <v>58</v>
      </c>
      <c r="N8" s="42"/>
    </row>
    <row r="9" spans="1:14" ht="18" customHeight="1" x14ac:dyDescent="0.2">
      <c r="A9" s="4"/>
      <c r="B9" s="85"/>
      <c r="C9" s="10">
        <f>IF(DAY(MayDom1)=1,MayDom1+29,MayDom1+36)</f>
        <v>44347</v>
      </c>
      <c r="D9" s="10">
        <f>IF(DAY(MayDom1)=1,MayDom1+30,MayDom1+37)</f>
        <v>44348</v>
      </c>
      <c r="E9" s="10">
        <f>IF(DAY(MayDom1)=1,MayDom1+31,MayDom1+38)</f>
        <v>44349</v>
      </c>
      <c r="F9" s="10">
        <f>IF(DAY(MayDom1)=1,MayDom1+32,MayDom1+39)</f>
        <v>44350</v>
      </c>
      <c r="G9" s="10">
        <f>IF(DAY(MayDom1)=1,MayDom1+33,MayDom1+40)</f>
        <v>44351</v>
      </c>
      <c r="H9" s="10">
        <f>IF(DAY(MayDom1)=1,MayDom1+34,MayDom1+41)</f>
        <v>44352</v>
      </c>
      <c r="I9" s="10">
        <f>IF(DAY(MayDom1)=1,MayDom1+35,MayDom1+42)</f>
        <v>44353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4</v>
      </c>
      <c r="M10" s="41" t="s">
        <v>35</v>
      </c>
      <c r="N10" s="42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11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18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25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/>
      <c r="M14" s="41"/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5</v>
      </c>
      <c r="M16" s="100" t="s">
        <v>52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12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19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26</v>
      </c>
      <c r="M19" s="41" t="s">
        <v>59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/>
      <c r="M20" s="102"/>
      <c r="N20" s="103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102"/>
      <c r="N21" s="103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6</v>
      </c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13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20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27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100"/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100"/>
      <c r="N27" s="10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7</v>
      </c>
      <c r="M28" s="100" t="s">
        <v>45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14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21</v>
      </c>
      <c r="M30" s="41" t="s">
        <v>60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28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5" zoomScaleNormal="100" zoomScalePageLayoutView="84" workbookViewId="0">
      <selection activeCell="M34" sqref="M3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21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IF(DAY(JunDom1)=1,JunDom1-6,JunDom1+1)</f>
        <v>44347</v>
      </c>
      <c r="D4" s="10">
        <f>IF(DAY(JunDom1)=1,JunDom1-5,JunDom1+2)</f>
        <v>44348</v>
      </c>
      <c r="E4" s="10">
        <f>IF(DAY(JunDom1)=1,JunDom1-4,JunDom1+3)</f>
        <v>44349</v>
      </c>
      <c r="F4" s="10">
        <f>IF(DAY(JunDom1)=1,JunDom1-3,JunDom1+4)</f>
        <v>44350</v>
      </c>
      <c r="G4" s="10">
        <f>IF(DAY(JunDom1)=1,JunDom1-2,JunDom1+5)</f>
        <v>44351</v>
      </c>
      <c r="H4" s="10">
        <f>IF(DAY(JunDom1)=1,JunDom1-1,JunDom1+6)</f>
        <v>44352</v>
      </c>
      <c r="I4" s="10">
        <f>IF(DAY(JunDom1)=1,JunDom1,JunDom1+7)</f>
        <v>44353</v>
      </c>
      <c r="J4" s="5"/>
      <c r="K4" s="91" t="s">
        <v>11</v>
      </c>
      <c r="L4" s="16">
        <v>7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IF(DAY(JunDom1)=1,JunDom1+1,JunDom1+8)</f>
        <v>44354</v>
      </c>
      <c r="D5" s="10">
        <f>IF(DAY(JunDom1)=1,JunDom1+2,JunDom1+9)</f>
        <v>44355</v>
      </c>
      <c r="E5" s="10">
        <f>IF(DAY(JunDom1)=1,JunDom1+3,JunDom1+10)</f>
        <v>44356</v>
      </c>
      <c r="F5" s="10">
        <f>IF(DAY(JunDom1)=1,JunDom1+4,JunDom1+11)</f>
        <v>44357</v>
      </c>
      <c r="G5" s="10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5"/>
      <c r="K5" s="81"/>
      <c r="L5" s="17">
        <v>14</v>
      </c>
      <c r="M5" s="41" t="s">
        <v>33</v>
      </c>
      <c r="N5" s="42"/>
    </row>
    <row r="6" spans="1:14" ht="18" customHeight="1" x14ac:dyDescent="0.2">
      <c r="A6" s="4"/>
      <c r="B6" s="85"/>
      <c r="C6" s="10">
        <f>IF(DAY(JunDom1)=1,JunDom1+8,JunDom1+15)</f>
        <v>44361</v>
      </c>
      <c r="D6" s="10">
        <f>IF(DAY(JunDom1)=1,JunDom1+9,JunDom1+16)</f>
        <v>44362</v>
      </c>
      <c r="E6" s="10">
        <f>IF(DAY(JunDom1)=1,JunDom1+10,JunDom1+17)</f>
        <v>44363</v>
      </c>
      <c r="F6" s="10">
        <f>IF(DAY(JunDom1)=1,JunDom1+11,JunDom1+18)</f>
        <v>44364</v>
      </c>
      <c r="G6" s="10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5"/>
      <c r="K6" s="81"/>
      <c r="L6" s="17">
        <v>21</v>
      </c>
      <c r="M6" s="41" t="s">
        <v>27</v>
      </c>
      <c r="N6" s="42"/>
    </row>
    <row r="7" spans="1:14" ht="18" customHeight="1" x14ac:dyDescent="0.2">
      <c r="A7" s="4"/>
      <c r="B7" s="85"/>
      <c r="C7" s="10">
        <f>IF(DAY(JunDom1)=1,JunDom1+15,JunDom1+22)</f>
        <v>44368</v>
      </c>
      <c r="D7" s="10">
        <f>IF(DAY(JunDom1)=1,JunDom1+16,JunDom1+23)</f>
        <v>44369</v>
      </c>
      <c r="E7" s="10">
        <f>IF(DAY(JunDom1)=1,JunDom1+17,JunDom1+24)</f>
        <v>44370</v>
      </c>
      <c r="F7" s="10">
        <f>IF(DAY(JunDom1)=1,JunDom1+18,JunDom1+25)</f>
        <v>44371</v>
      </c>
      <c r="G7" s="10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5"/>
      <c r="K7" s="11"/>
      <c r="L7" s="17">
        <v>28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IF(DAY(JunDom1)=1,JunDom1+22,JunDom1+29)</f>
        <v>44375</v>
      </c>
      <c r="D8" s="10">
        <f>IF(DAY(JunDom1)=1,JunDom1+23,JunDom1+30)</f>
        <v>44376</v>
      </c>
      <c r="E8" s="10">
        <f>IF(DAY(JunDom1)=1,JunDom1+24,JunDom1+31)</f>
        <v>44377</v>
      </c>
      <c r="F8" s="10">
        <f>IF(DAY(JunDom1)=1,JunDom1+25,JunDom1+32)</f>
        <v>44378</v>
      </c>
      <c r="G8" s="10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IF(DAY(JunDom1)=1,JunDom1+29,JunDom1+36)</f>
        <v>44382</v>
      </c>
      <c r="D9" s="10">
        <f>IF(DAY(JunDom1)=1,JunDom1+30,JunDom1+37)</f>
        <v>44383</v>
      </c>
      <c r="E9" s="10">
        <f>IF(DAY(JunDom1)=1,JunDom1+31,JunDom1+38)</f>
        <v>44384</v>
      </c>
      <c r="F9" s="10">
        <f>IF(DAY(JunDom1)=1,JunDom1+32,JunDom1+39)</f>
        <v>44385</v>
      </c>
      <c r="G9" s="10">
        <f>IF(DAY(JunDom1)=1,JunDom1+33,JunDom1+40)</f>
        <v>44386</v>
      </c>
      <c r="H9" s="10">
        <f>IF(DAY(JunDom1)=1,JunDom1+34,JunDom1+41)</f>
        <v>44387</v>
      </c>
      <c r="I9" s="10">
        <f>IF(DAY(JunDom1)=1,JunDom1+35,JunDom1+42)</f>
        <v>44388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1</v>
      </c>
      <c r="M10" s="41" t="s">
        <v>35</v>
      </c>
      <c r="N10" s="42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8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15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22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29</v>
      </c>
      <c r="M14" s="41" t="s">
        <v>61</v>
      </c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2</v>
      </c>
      <c r="M16" s="100" t="s">
        <v>52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9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16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23</v>
      </c>
      <c r="M19" s="41" t="s">
        <v>62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30</v>
      </c>
      <c r="M20" s="102" t="s">
        <v>63</v>
      </c>
      <c r="N20" s="103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102"/>
      <c r="N21" s="103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3</v>
      </c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10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17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24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100"/>
      <c r="N26" s="101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100"/>
      <c r="N27" s="101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4</v>
      </c>
      <c r="M28" s="100" t="s">
        <v>45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11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18</v>
      </c>
      <c r="M30" s="41" t="s">
        <v>26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25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0" zoomScaleNormal="100" zoomScalePageLayoutView="84" workbookViewId="0">
      <selection activeCell="M14" sqref="M14:N1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20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IF(DAY(JulDom1)=1,JulDom1-6,JulDom1+1)</f>
        <v>44375</v>
      </c>
      <c r="D4" s="10">
        <f>IF(DAY(JulDom1)=1,JulDom1-5,JulDom1+2)</f>
        <v>44376</v>
      </c>
      <c r="E4" s="10">
        <f>IF(DAY(JulDom1)=1,JulDom1-4,JulDom1+3)</f>
        <v>44377</v>
      </c>
      <c r="F4" s="10">
        <f>IF(DAY(JulDom1)=1,JulDom1-3,JulDom1+4)</f>
        <v>44378</v>
      </c>
      <c r="G4" s="10">
        <f>IF(DAY(JulDom1)=1,JulDom1-2,JulDom1+5)</f>
        <v>44379</v>
      </c>
      <c r="H4" s="10">
        <f>IF(DAY(JulDom1)=1,JulDom1-1,JulDom1+6)</f>
        <v>44380</v>
      </c>
      <c r="I4" s="10">
        <f>IF(DAY(JulDom1)=1,JulDom1,JulDom1+7)</f>
        <v>44381</v>
      </c>
      <c r="J4" s="5"/>
      <c r="K4" s="91" t="s">
        <v>11</v>
      </c>
      <c r="L4" s="16">
        <v>5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IF(DAY(JulDom1)=1,JulDom1+1,JulDom1+8)</f>
        <v>44382</v>
      </c>
      <c r="D5" s="10">
        <f>IF(DAY(JulDom1)=1,JulDom1+2,JulDom1+9)</f>
        <v>44383</v>
      </c>
      <c r="E5" s="10">
        <f>IF(DAY(JulDom1)=1,JulDom1+3,JulDom1+10)</f>
        <v>44384</v>
      </c>
      <c r="F5" s="10">
        <f>IF(DAY(JulDom1)=1,JulDom1+4,JulDom1+11)</f>
        <v>44385</v>
      </c>
      <c r="G5" s="10">
        <f>IF(DAY(JulDom1)=1,JulDom1+5,JulDom1+12)</f>
        <v>44386</v>
      </c>
      <c r="H5" s="10">
        <f>IF(DAY(JulDom1)=1,JulDom1+6,JulDom1+13)</f>
        <v>44387</v>
      </c>
      <c r="I5" s="10">
        <f>IF(DAY(JulDom1)=1,JulDom1+7,JulDom1+14)</f>
        <v>44388</v>
      </c>
      <c r="J5" s="5"/>
      <c r="K5" s="81"/>
      <c r="L5" s="17">
        <v>12</v>
      </c>
      <c r="M5" s="41" t="s">
        <v>33</v>
      </c>
      <c r="N5" s="42"/>
    </row>
    <row r="6" spans="1:14" ht="18" customHeight="1" x14ac:dyDescent="0.2">
      <c r="A6" s="4"/>
      <c r="B6" s="85"/>
      <c r="C6" s="10">
        <f>IF(DAY(JulDom1)=1,JulDom1+8,JulDom1+15)</f>
        <v>44389</v>
      </c>
      <c r="D6" s="10">
        <f>IF(DAY(JulDom1)=1,JulDom1+9,JulDom1+16)</f>
        <v>44390</v>
      </c>
      <c r="E6" s="10">
        <f>IF(DAY(JulDom1)=1,JulDom1+10,JulDom1+17)</f>
        <v>44391</v>
      </c>
      <c r="F6" s="10">
        <f>IF(DAY(JulDom1)=1,JulDom1+11,JulDom1+18)</f>
        <v>44392</v>
      </c>
      <c r="G6" s="10">
        <f>IF(DAY(JulDom1)=1,JulDom1+12,JulDom1+19)</f>
        <v>44393</v>
      </c>
      <c r="H6" s="10">
        <f>IF(DAY(JulDom1)=1,JulDom1+13,JulDom1+20)</f>
        <v>44394</v>
      </c>
      <c r="I6" s="10">
        <f>IF(DAY(JulDom1)=1,JulDom1+14,JulDom1+21)</f>
        <v>44395</v>
      </c>
      <c r="J6" s="5"/>
      <c r="K6" s="81"/>
      <c r="L6" s="17">
        <v>19</v>
      </c>
      <c r="M6" s="41" t="s">
        <v>27</v>
      </c>
      <c r="N6" s="42"/>
    </row>
    <row r="7" spans="1:14" ht="18" customHeight="1" x14ac:dyDescent="0.2">
      <c r="A7" s="4"/>
      <c r="B7" s="85"/>
      <c r="C7" s="10">
        <f>IF(DAY(JulDom1)=1,JulDom1+15,JulDom1+22)</f>
        <v>44396</v>
      </c>
      <c r="D7" s="10">
        <f>IF(DAY(JulDom1)=1,JulDom1+16,JulDom1+23)</f>
        <v>44397</v>
      </c>
      <c r="E7" s="10">
        <f>IF(DAY(JulDom1)=1,JulDom1+17,JulDom1+24)</f>
        <v>44398</v>
      </c>
      <c r="F7" s="10">
        <f>IF(DAY(JulDom1)=1,JulDom1+18,JulDom1+25)</f>
        <v>44399</v>
      </c>
      <c r="G7" s="10">
        <f>IF(DAY(JulDom1)=1,JulDom1+19,JulDom1+26)</f>
        <v>44400</v>
      </c>
      <c r="H7" s="10">
        <f>IF(DAY(JulDom1)=1,JulDom1+20,JulDom1+27)</f>
        <v>44401</v>
      </c>
      <c r="I7" s="10">
        <f>IF(DAY(JulDom1)=1,JulDom1+21,JulDom1+28)</f>
        <v>44402</v>
      </c>
      <c r="J7" s="5"/>
      <c r="K7" s="11"/>
      <c r="L7" s="17">
        <v>26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IF(DAY(JulDom1)=1,JulDom1+22,JulDom1+29)</f>
        <v>44403</v>
      </c>
      <c r="D8" s="10">
        <f>IF(DAY(JulDom1)=1,JulDom1+23,JulDom1+30)</f>
        <v>44404</v>
      </c>
      <c r="E8" s="10">
        <f>IF(DAY(JulDom1)=1,JulDom1+24,JulDom1+31)</f>
        <v>44405</v>
      </c>
      <c r="F8" s="10">
        <f>IF(DAY(JulDom1)=1,JulDom1+25,JulDom1+32)</f>
        <v>44406</v>
      </c>
      <c r="G8" s="10">
        <f>IF(DAY(JulDom1)=1,JulDom1+26,JulDom1+33)</f>
        <v>44407</v>
      </c>
      <c r="H8" s="10">
        <f>IF(DAY(JulDom1)=1,JulDom1+27,JulDom1+34)</f>
        <v>44408</v>
      </c>
      <c r="I8" s="10">
        <f>IF(DAY(JulDom1)=1,JulDom1+28,JulDom1+35)</f>
        <v>44409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IF(DAY(JulDom1)=1,JulDom1+29,JulDom1+36)</f>
        <v>44410</v>
      </c>
      <c r="D9" s="10">
        <f>IF(DAY(JulDom1)=1,JulDom1+30,JulDom1+37)</f>
        <v>44411</v>
      </c>
      <c r="E9" s="10">
        <f>IF(DAY(JulDom1)=1,JulDom1+31,JulDom1+38)</f>
        <v>44412</v>
      </c>
      <c r="F9" s="10">
        <f>IF(DAY(JulDom1)=1,JulDom1+32,JulDom1+39)</f>
        <v>44413</v>
      </c>
      <c r="G9" s="10">
        <f>IF(DAY(JulDom1)=1,JulDom1+33,JulDom1+40)</f>
        <v>44414</v>
      </c>
      <c r="H9" s="10">
        <f>IF(DAY(JulDom1)=1,JulDom1+34,JulDom1+41)</f>
        <v>44415</v>
      </c>
      <c r="I9" s="10">
        <f>IF(DAY(JulDom1)=1,JulDom1+35,JulDom1+42)</f>
        <v>44416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>
        <v>6</v>
      </c>
      <c r="M10" s="100" t="s">
        <v>32</v>
      </c>
      <c r="N10" s="101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13</v>
      </c>
      <c r="M11" s="41" t="s">
        <v>32</v>
      </c>
      <c r="N11" s="42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20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27</v>
      </c>
      <c r="M13" s="41" t="s">
        <v>32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/>
      <c r="M14" s="102"/>
      <c r="N14" s="103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>
        <v>7</v>
      </c>
      <c r="M16" s="100" t="s">
        <v>30</v>
      </c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14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21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28</v>
      </c>
      <c r="M19" s="102" t="s">
        <v>47</v>
      </c>
      <c r="N19" s="103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/>
      <c r="M20" s="41"/>
      <c r="N20" s="42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98"/>
      <c r="N21" s="99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1</v>
      </c>
      <c r="M22" s="102" t="s">
        <v>48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8</v>
      </c>
      <c r="M23" s="41" t="s">
        <v>32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15</v>
      </c>
      <c r="M24" s="41" t="s">
        <v>32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22</v>
      </c>
      <c r="M25" s="102" t="s">
        <v>31</v>
      </c>
      <c r="N25" s="103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>
        <v>29</v>
      </c>
      <c r="M26" s="41" t="s">
        <v>32</v>
      </c>
      <c r="N26" s="42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98"/>
      <c r="N27" s="99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2</v>
      </c>
      <c r="M28" s="100" t="s">
        <v>37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9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16</v>
      </c>
      <c r="M30" s="41" t="s">
        <v>26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23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30</v>
      </c>
      <c r="M32" s="41" t="s">
        <v>40</v>
      </c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6" zoomScaleNormal="100" zoomScalePageLayoutView="84" workbookViewId="0">
      <selection activeCell="L33" sqref="L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84" t="s">
        <v>19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IF(DAY(AgoDom1)=1,AgoDom1-6,AgoDom1+1)</f>
        <v>44403</v>
      </c>
      <c r="D4" s="10">
        <f>IF(DAY(AgoDom1)=1,AgoDom1-5,AgoDom1+2)</f>
        <v>44404</v>
      </c>
      <c r="E4" s="10">
        <f>IF(DAY(AgoDom1)=1,AgoDom1-4,AgoDom1+3)</f>
        <v>44405</v>
      </c>
      <c r="F4" s="10">
        <f>IF(DAY(AgoDom1)=1,AgoDom1-3,AgoDom1+4)</f>
        <v>44406</v>
      </c>
      <c r="G4" s="10">
        <f>IF(DAY(AgoDom1)=1,AgoDom1-2,AgoDom1+5)</f>
        <v>44407</v>
      </c>
      <c r="H4" s="10">
        <f>IF(DAY(AgoDom1)=1,AgoDom1-1,AgoDom1+6)</f>
        <v>44408</v>
      </c>
      <c r="I4" s="10">
        <f>IF(DAY(AgoDom1)=1,AgoDom1,AgoDom1+7)</f>
        <v>44409</v>
      </c>
      <c r="J4" s="5"/>
      <c r="K4" s="91" t="s">
        <v>11</v>
      </c>
      <c r="L4" s="16">
        <v>2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IF(DAY(AgoDom1)=1,AgoDom1+1,AgoDom1+8)</f>
        <v>44410</v>
      </c>
      <c r="D5" s="10">
        <f>IF(DAY(AgoDom1)=1,AgoDom1+2,AgoDom1+9)</f>
        <v>44411</v>
      </c>
      <c r="E5" s="10">
        <f>IF(DAY(AgoDom1)=1,AgoDom1+3,AgoDom1+10)</f>
        <v>44412</v>
      </c>
      <c r="F5" s="10">
        <f>IF(DAY(AgoDom1)=1,AgoDom1+4,AgoDom1+11)</f>
        <v>44413</v>
      </c>
      <c r="G5" s="10">
        <f>IF(DAY(AgoDom1)=1,AgoDom1+5,AgoDom1+12)</f>
        <v>44414</v>
      </c>
      <c r="H5" s="10">
        <f>IF(DAY(AgoDom1)=1,AgoDom1+6,AgoDom1+13)</f>
        <v>44415</v>
      </c>
      <c r="I5" s="10">
        <f>IF(DAY(AgoDom1)=1,AgoDom1+7,AgoDom1+14)</f>
        <v>44416</v>
      </c>
      <c r="J5" s="5"/>
      <c r="K5" s="81"/>
      <c r="L5" s="17">
        <v>9</v>
      </c>
      <c r="M5" s="41" t="s">
        <v>33</v>
      </c>
      <c r="N5" s="42"/>
    </row>
    <row r="6" spans="1:14" ht="18" customHeight="1" x14ac:dyDescent="0.2">
      <c r="A6" s="4"/>
      <c r="B6" s="85"/>
      <c r="C6" s="10">
        <f>IF(DAY(AgoDom1)=1,AgoDom1+8,AgoDom1+15)</f>
        <v>44417</v>
      </c>
      <c r="D6" s="10">
        <f>IF(DAY(AgoDom1)=1,AgoDom1+9,AgoDom1+16)</f>
        <v>44418</v>
      </c>
      <c r="E6" s="10">
        <f>IF(DAY(AgoDom1)=1,AgoDom1+10,AgoDom1+17)</f>
        <v>44419</v>
      </c>
      <c r="F6" s="10">
        <f>IF(DAY(AgoDom1)=1,AgoDom1+11,AgoDom1+18)</f>
        <v>44420</v>
      </c>
      <c r="G6" s="10">
        <f>IF(DAY(AgoDom1)=1,AgoDom1+12,AgoDom1+19)</f>
        <v>44421</v>
      </c>
      <c r="H6" s="10">
        <f>IF(DAY(AgoDom1)=1,AgoDom1+13,AgoDom1+20)</f>
        <v>44422</v>
      </c>
      <c r="I6" s="10">
        <f>IF(DAY(AgoDom1)=1,AgoDom1+14,AgoDom1+21)</f>
        <v>44423</v>
      </c>
      <c r="J6" s="5"/>
      <c r="K6" s="81"/>
      <c r="L6" s="17">
        <v>16</v>
      </c>
      <c r="M6" s="41" t="s">
        <v>27</v>
      </c>
      <c r="N6" s="42"/>
    </row>
    <row r="7" spans="1:14" ht="18" customHeight="1" x14ac:dyDescent="0.2">
      <c r="A7" s="4"/>
      <c r="B7" s="85"/>
      <c r="C7" s="10">
        <f>IF(DAY(AgoDom1)=1,AgoDom1+15,AgoDom1+22)</f>
        <v>44424</v>
      </c>
      <c r="D7" s="10">
        <f>IF(DAY(AgoDom1)=1,AgoDom1+16,AgoDom1+23)</f>
        <v>44425</v>
      </c>
      <c r="E7" s="10">
        <f>IF(DAY(AgoDom1)=1,AgoDom1+17,AgoDom1+24)</f>
        <v>44426</v>
      </c>
      <c r="F7" s="10">
        <f>IF(DAY(AgoDom1)=1,AgoDom1+18,AgoDom1+25)</f>
        <v>44427</v>
      </c>
      <c r="G7" s="10">
        <f>IF(DAY(AgoDom1)=1,AgoDom1+19,AgoDom1+26)</f>
        <v>44428</v>
      </c>
      <c r="H7" s="10">
        <f>IF(DAY(AgoDom1)=1,AgoDom1+20,AgoDom1+27)</f>
        <v>44429</v>
      </c>
      <c r="I7" s="10">
        <f>IF(DAY(AgoDom1)=1,AgoDom1+21,AgoDom1+28)</f>
        <v>44430</v>
      </c>
      <c r="J7" s="5"/>
      <c r="K7" s="11"/>
      <c r="L7" s="17">
        <v>23</v>
      </c>
      <c r="M7" s="41" t="s">
        <v>34</v>
      </c>
      <c r="N7" s="42"/>
    </row>
    <row r="8" spans="1:14" ht="18.75" customHeight="1" x14ac:dyDescent="0.2">
      <c r="A8" s="4"/>
      <c r="B8" s="85"/>
      <c r="C8" s="10">
        <f>IF(DAY(AgoDom1)=1,AgoDom1+22,AgoDom1+29)</f>
        <v>44431</v>
      </c>
      <c r="D8" s="10">
        <f>IF(DAY(AgoDom1)=1,AgoDom1+23,AgoDom1+30)</f>
        <v>44432</v>
      </c>
      <c r="E8" s="10">
        <f>IF(DAY(AgoDom1)=1,AgoDom1+24,AgoDom1+31)</f>
        <v>44433</v>
      </c>
      <c r="F8" s="10">
        <f>IF(DAY(AgoDom1)=1,AgoDom1+25,AgoDom1+32)</f>
        <v>44434</v>
      </c>
      <c r="G8" s="10">
        <f>IF(DAY(AgoDom1)=1,AgoDom1+26,AgoDom1+33)</f>
        <v>44435</v>
      </c>
      <c r="H8" s="10">
        <f>IF(DAY(AgoDom1)=1,AgoDom1+27,AgoDom1+34)</f>
        <v>44436</v>
      </c>
      <c r="I8" s="10">
        <f>IF(DAY(AgoDom1)=1,AgoDom1+28,AgoDom1+35)</f>
        <v>44437</v>
      </c>
      <c r="J8" s="5"/>
      <c r="K8" s="11"/>
      <c r="L8" s="17">
        <v>30</v>
      </c>
      <c r="M8" s="41" t="s">
        <v>44</v>
      </c>
      <c r="N8" s="42"/>
    </row>
    <row r="9" spans="1:14" ht="18" customHeight="1" x14ac:dyDescent="0.2">
      <c r="A9" s="4"/>
      <c r="B9" s="85"/>
      <c r="C9" s="10">
        <f>IF(DAY(AgoDom1)=1,AgoDom1+29,AgoDom1+36)</f>
        <v>44438</v>
      </c>
      <c r="D9" s="10">
        <f>IF(DAY(AgoDom1)=1,AgoDom1+30,AgoDom1+37)</f>
        <v>44439</v>
      </c>
      <c r="E9" s="10">
        <f>IF(DAY(AgoDom1)=1,AgoDom1+31,AgoDom1+38)</f>
        <v>44440</v>
      </c>
      <c r="F9" s="10">
        <f>IF(DAY(AgoDom1)=1,AgoDom1+32,AgoDom1+39)</f>
        <v>44441</v>
      </c>
      <c r="G9" s="10">
        <f>IF(DAY(AgoDom1)=1,AgoDom1+33,AgoDom1+40)</f>
        <v>44442</v>
      </c>
      <c r="H9" s="10">
        <f>IF(DAY(AgoDom1)=1,AgoDom1+34,AgoDom1+41)</f>
        <v>44443</v>
      </c>
      <c r="I9" s="10">
        <f>IF(DAY(AgoDom1)=1,AgoDom1+35,AgoDom1+42)</f>
        <v>44444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/>
      <c r="M10" s="100"/>
      <c r="N10" s="101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3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10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17</v>
      </c>
      <c r="M13" s="41" t="s">
        <v>39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24</v>
      </c>
      <c r="M14" s="41" t="s">
        <v>40</v>
      </c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>
        <v>31</v>
      </c>
      <c r="M15" s="41" t="s">
        <v>49</v>
      </c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/>
      <c r="M16" s="100"/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4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11</v>
      </c>
      <c r="M18" s="41" t="s">
        <v>36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18</v>
      </c>
      <c r="M19" s="41" t="s">
        <v>64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25</v>
      </c>
      <c r="M20" s="41" t="s">
        <v>41</v>
      </c>
      <c r="N20" s="42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/>
      <c r="M21" s="98"/>
      <c r="N21" s="99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>
        <v>5</v>
      </c>
      <c r="M22" s="102" t="s">
        <v>31</v>
      </c>
      <c r="N22" s="103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12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19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26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/>
      <c r="M26" s="41"/>
      <c r="N26" s="42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/>
      <c r="M27" s="98"/>
      <c r="N27" s="99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>
        <v>6</v>
      </c>
      <c r="M28" s="100" t="s">
        <v>37</v>
      </c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13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20</v>
      </c>
      <c r="M30" s="41" t="s">
        <v>65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27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/>
      <c r="M32" s="41"/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>
      <selection activeCell="M4" sqref="M4:N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84" t="s">
        <v>18</v>
      </c>
      <c r="C2" s="21"/>
      <c r="D2" s="21"/>
      <c r="E2" s="21"/>
      <c r="F2" s="21"/>
      <c r="G2" s="21"/>
      <c r="H2" s="21"/>
      <c r="I2" s="21"/>
      <c r="J2" s="22"/>
      <c r="K2" s="87" t="s">
        <v>2</v>
      </c>
      <c r="L2" s="88">
        <v>2013</v>
      </c>
      <c r="M2" s="88"/>
      <c r="N2" s="25"/>
    </row>
    <row r="3" spans="1:14" ht="21" customHeight="1" x14ac:dyDescent="0.2">
      <c r="A3" s="4"/>
      <c r="B3" s="85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89"/>
      <c r="L3" s="90"/>
      <c r="M3" s="90"/>
      <c r="N3" s="26"/>
    </row>
    <row r="4" spans="1:14" ht="18" customHeight="1" x14ac:dyDescent="0.2">
      <c r="A4" s="4"/>
      <c r="B4" s="85"/>
      <c r="C4" s="10">
        <f>IF(DAY(SepDom1)=1,SepDom1-6,SepDom1+1)</f>
        <v>44438</v>
      </c>
      <c r="D4" s="10">
        <f>IF(DAY(SepDom1)=1,SepDom1-5,SepDom1+2)</f>
        <v>44439</v>
      </c>
      <c r="E4" s="10">
        <f>IF(DAY(SepDom1)=1,SepDom1-4,SepDom1+3)</f>
        <v>44440</v>
      </c>
      <c r="F4" s="10">
        <f>IF(DAY(SepDom1)=1,SepDom1-3,SepDom1+4)</f>
        <v>44441</v>
      </c>
      <c r="G4" s="10">
        <f>IF(DAY(SepDom1)=1,SepDom1-2,SepDom1+5)</f>
        <v>44442</v>
      </c>
      <c r="H4" s="10">
        <f>IF(DAY(SepDom1)=1,SepDom1-1,SepDom1+6)</f>
        <v>44443</v>
      </c>
      <c r="I4" s="10">
        <f>IF(DAY(SepDom1)=1,SepDom1,SepDom1+7)</f>
        <v>44444</v>
      </c>
      <c r="J4" s="5"/>
      <c r="K4" s="91" t="s">
        <v>11</v>
      </c>
      <c r="L4" s="16">
        <v>6</v>
      </c>
      <c r="M4" s="102" t="s">
        <v>31</v>
      </c>
      <c r="N4" s="103"/>
    </row>
    <row r="5" spans="1:14" ht="18" customHeight="1" x14ac:dyDescent="0.2">
      <c r="A5" s="4"/>
      <c r="B5" s="85"/>
      <c r="C5" s="10">
        <f>IF(DAY(SepDom1)=1,SepDom1+1,SepDom1+8)</f>
        <v>44445</v>
      </c>
      <c r="D5" s="10">
        <f>IF(DAY(SepDom1)=1,SepDom1+2,SepDom1+9)</f>
        <v>44446</v>
      </c>
      <c r="E5" s="10">
        <f>IF(DAY(SepDom1)=1,SepDom1+3,SepDom1+10)</f>
        <v>44447</v>
      </c>
      <c r="F5" s="10">
        <f>IF(DAY(SepDom1)=1,SepDom1+4,SepDom1+11)</f>
        <v>44448</v>
      </c>
      <c r="G5" s="10">
        <f>IF(DAY(SepDom1)=1,SepDom1+5,SepDom1+12)</f>
        <v>44449</v>
      </c>
      <c r="H5" s="10">
        <f>IF(DAY(SepDom1)=1,SepDom1+6,SepDom1+13)</f>
        <v>44450</v>
      </c>
      <c r="I5" s="10">
        <f>IF(DAY(SepDom1)=1,SepDom1+7,SepDom1+14)</f>
        <v>44451</v>
      </c>
      <c r="J5" s="5"/>
      <c r="K5" s="81"/>
      <c r="L5" s="17">
        <v>13</v>
      </c>
      <c r="M5" s="41" t="s">
        <v>33</v>
      </c>
      <c r="N5" s="42"/>
    </row>
    <row r="6" spans="1:14" ht="18" customHeight="1" x14ac:dyDescent="0.2">
      <c r="A6" s="4"/>
      <c r="B6" s="85"/>
      <c r="C6" s="10">
        <f>IF(DAY(SepDom1)=1,SepDom1+8,SepDom1+15)</f>
        <v>44452</v>
      </c>
      <c r="D6" s="10">
        <f>IF(DAY(SepDom1)=1,SepDom1+9,SepDom1+16)</f>
        <v>44453</v>
      </c>
      <c r="E6" s="10">
        <f>IF(DAY(SepDom1)=1,SepDom1+10,SepDom1+17)</f>
        <v>44454</v>
      </c>
      <c r="F6" s="10">
        <f>IF(DAY(SepDom1)=1,SepDom1+11,SepDom1+18)</f>
        <v>44455</v>
      </c>
      <c r="G6" s="10">
        <f>IF(DAY(SepDom1)=1,SepDom1+12,SepDom1+19)</f>
        <v>44456</v>
      </c>
      <c r="H6" s="10">
        <f>IF(DAY(SepDom1)=1,SepDom1+13,SepDom1+20)</f>
        <v>44457</v>
      </c>
      <c r="I6" s="10">
        <f>IF(DAY(SepDom1)=1,SepDom1+14,SepDom1+21)</f>
        <v>44458</v>
      </c>
      <c r="J6" s="5"/>
      <c r="K6" s="81"/>
      <c r="L6" s="17">
        <v>20</v>
      </c>
      <c r="M6" s="41" t="s">
        <v>50</v>
      </c>
      <c r="N6" s="42"/>
    </row>
    <row r="7" spans="1:14" ht="18" customHeight="1" x14ac:dyDescent="0.2">
      <c r="A7" s="4"/>
      <c r="B7" s="85"/>
      <c r="C7" s="10">
        <f>IF(DAY(SepDom1)=1,SepDom1+15,SepDom1+22)</f>
        <v>44459</v>
      </c>
      <c r="D7" s="10">
        <f>IF(DAY(SepDom1)=1,SepDom1+16,SepDom1+23)</f>
        <v>44460</v>
      </c>
      <c r="E7" s="10">
        <f>IF(DAY(SepDom1)=1,SepDom1+17,SepDom1+24)</f>
        <v>44461</v>
      </c>
      <c r="F7" s="10">
        <f>IF(DAY(SepDom1)=1,SepDom1+18,SepDom1+25)</f>
        <v>44462</v>
      </c>
      <c r="G7" s="10">
        <f>IF(DAY(SepDom1)=1,SepDom1+19,SepDom1+26)</f>
        <v>44463</v>
      </c>
      <c r="H7" s="10">
        <f>IF(DAY(SepDom1)=1,SepDom1+20,SepDom1+27)</f>
        <v>44464</v>
      </c>
      <c r="I7" s="10">
        <f>IF(DAY(SepDom1)=1,SepDom1+21,SepDom1+28)</f>
        <v>44465</v>
      </c>
      <c r="J7" s="5"/>
      <c r="K7" s="11"/>
      <c r="L7" s="17">
        <v>27</v>
      </c>
      <c r="M7" s="41" t="s">
        <v>50</v>
      </c>
      <c r="N7" s="42"/>
    </row>
    <row r="8" spans="1:14" ht="18.75" customHeight="1" x14ac:dyDescent="0.2">
      <c r="A8" s="4"/>
      <c r="B8" s="85"/>
      <c r="C8" s="10">
        <f>IF(DAY(SepDom1)=1,SepDom1+22,SepDom1+29)</f>
        <v>44466</v>
      </c>
      <c r="D8" s="10">
        <f>IF(DAY(SepDom1)=1,SepDom1+23,SepDom1+30)</f>
        <v>44467</v>
      </c>
      <c r="E8" s="10">
        <f>IF(DAY(SepDom1)=1,SepDom1+24,SepDom1+31)</f>
        <v>44468</v>
      </c>
      <c r="F8" s="10">
        <f>IF(DAY(SepDom1)=1,SepDom1+25,SepDom1+32)</f>
        <v>44469</v>
      </c>
      <c r="G8" s="10">
        <f>IF(DAY(SepDom1)=1,SepDom1+26,SepDom1+33)</f>
        <v>44470</v>
      </c>
      <c r="H8" s="10">
        <f>IF(DAY(SepDom1)=1,SepDom1+27,SepDom1+34)</f>
        <v>44471</v>
      </c>
      <c r="I8" s="10">
        <f>IF(DAY(SepDom1)=1,SepDom1+28,SepDom1+35)</f>
        <v>44472</v>
      </c>
      <c r="J8" s="5"/>
      <c r="K8" s="11"/>
      <c r="L8" s="17"/>
      <c r="M8" s="41"/>
      <c r="N8" s="42"/>
    </row>
    <row r="9" spans="1:14" ht="18" customHeight="1" x14ac:dyDescent="0.2">
      <c r="A9" s="4"/>
      <c r="B9" s="85"/>
      <c r="C9" s="10">
        <f>IF(DAY(SepDom1)=1,SepDom1+29,SepDom1+36)</f>
        <v>44473</v>
      </c>
      <c r="D9" s="10">
        <f>IF(DAY(SepDom1)=1,SepDom1+30,SepDom1+37)</f>
        <v>44474</v>
      </c>
      <c r="E9" s="10">
        <f>IF(DAY(SepDom1)=1,SepDom1+31,SepDom1+38)</f>
        <v>44475</v>
      </c>
      <c r="F9" s="10">
        <f>IF(DAY(SepDom1)=1,SepDom1+32,SepDom1+39)</f>
        <v>44476</v>
      </c>
      <c r="G9" s="10">
        <f>IF(DAY(SepDom1)=1,SepDom1+33,SepDom1+40)</f>
        <v>44477</v>
      </c>
      <c r="H9" s="10">
        <f>IF(DAY(SepDom1)=1,SepDom1+34,SepDom1+41)</f>
        <v>44478</v>
      </c>
      <c r="I9" s="10">
        <f>IF(DAY(SepDom1)=1,SepDom1+35,SepDom1+42)</f>
        <v>44479</v>
      </c>
      <c r="J9" s="5"/>
      <c r="K9" s="12"/>
      <c r="L9" s="18"/>
      <c r="M9" s="98"/>
      <c r="N9" s="99"/>
    </row>
    <row r="10" spans="1:14" ht="18" customHeight="1" x14ac:dyDescent="0.2">
      <c r="A10" s="4"/>
      <c r="B10" s="86"/>
      <c r="C10" s="23"/>
      <c r="D10" s="23"/>
      <c r="E10" s="23"/>
      <c r="F10" s="23"/>
      <c r="G10" s="23"/>
      <c r="H10" s="23"/>
      <c r="I10" s="23"/>
      <c r="J10" s="24"/>
      <c r="K10" s="80" t="s">
        <v>12</v>
      </c>
      <c r="L10" s="16"/>
      <c r="M10" s="100"/>
      <c r="N10" s="101"/>
    </row>
    <row r="11" spans="1:14" ht="18" customHeight="1" x14ac:dyDescent="0.2">
      <c r="A11" s="4"/>
      <c r="B11" s="92" t="s">
        <v>10</v>
      </c>
      <c r="C11" s="93"/>
      <c r="D11" s="93"/>
      <c r="E11" s="93"/>
      <c r="F11" s="93"/>
      <c r="G11" s="93"/>
      <c r="H11" s="93"/>
      <c r="I11" s="93"/>
      <c r="J11" s="94"/>
      <c r="K11" s="81"/>
      <c r="L11" s="17">
        <v>7</v>
      </c>
      <c r="M11" s="100" t="s">
        <v>37</v>
      </c>
      <c r="N11" s="101"/>
    </row>
    <row r="12" spans="1:14" ht="18" customHeight="1" x14ac:dyDescent="0.2">
      <c r="A12" s="4"/>
      <c r="B12" s="92"/>
      <c r="C12" s="93"/>
      <c r="D12" s="93"/>
      <c r="E12" s="93"/>
      <c r="F12" s="93"/>
      <c r="G12" s="93"/>
      <c r="H12" s="93"/>
      <c r="I12" s="93"/>
      <c r="J12" s="94"/>
      <c r="K12" s="81"/>
      <c r="L12" s="17">
        <v>14</v>
      </c>
      <c r="M12" s="41" t="s">
        <v>28</v>
      </c>
      <c r="N12" s="42"/>
    </row>
    <row r="13" spans="1:14" ht="18" customHeight="1" x14ac:dyDescent="0.2">
      <c r="B13" s="3" t="s">
        <v>11</v>
      </c>
      <c r="C13" s="95" t="s">
        <v>12</v>
      </c>
      <c r="D13" s="96"/>
      <c r="E13" s="95" t="s">
        <v>13</v>
      </c>
      <c r="F13" s="96"/>
      <c r="G13" s="95" t="s">
        <v>14</v>
      </c>
      <c r="H13" s="96"/>
      <c r="I13" s="95" t="s">
        <v>15</v>
      </c>
      <c r="J13" s="97"/>
      <c r="K13" s="11"/>
      <c r="L13" s="17">
        <v>21</v>
      </c>
      <c r="M13" s="41" t="s">
        <v>50</v>
      </c>
      <c r="N13" s="42"/>
    </row>
    <row r="14" spans="1:14" ht="18" customHeight="1" x14ac:dyDescent="0.2">
      <c r="B14" s="8"/>
      <c r="C14" s="45"/>
      <c r="D14" s="46"/>
      <c r="E14" s="45"/>
      <c r="F14" s="46"/>
      <c r="G14" s="45"/>
      <c r="H14" s="46"/>
      <c r="I14" s="45"/>
      <c r="J14" s="60"/>
      <c r="K14" s="11"/>
      <c r="L14" s="17">
        <v>28</v>
      </c>
      <c r="M14" s="41" t="s">
        <v>50</v>
      </c>
      <c r="N14" s="42"/>
    </row>
    <row r="15" spans="1:14" ht="18" customHeight="1" x14ac:dyDescent="0.2">
      <c r="B15" s="6"/>
      <c r="C15" s="47"/>
      <c r="D15" s="48"/>
      <c r="E15" s="47"/>
      <c r="F15" s="48"/>
      <c r="G15" s="47"/>
      <c r="H15" s="48"/>
      <c r="I15" s="58"/>
      <c r="J15" s="59"/>
      <c r="K15" s="13"/>
      <c r="L15" s="19"/>
      <c r="M15" s="41"/>
      <c r="N15" s="42"/>
    </row>
    <row r="16" spans="1:14" ht="18" customHeight="1" x14ac:dyDescent="0.2">
      <c r="B16" s="8"/>
      <c r="C16" s="45"/>
      <c r="D16" s="46"/>
      <c r="E16" s="45"/>
      <c r="F16" s="46"/>
      <c r="G16" s="45"/>
      <c r="H16" s="46"/>
      <c r="I16" s="54"/>
      <c r="J16" s="55"/>
      <c r="K16" s="82" t="s">
        <v>13</v>
      </c>
      <c r="L16" s="16"/>
      <c r="M16" s="100"/>
      <c r="N16" s="101"/>
    </row>
    <row r="17" spans="2:14" ht="18" customHeight="1" x14ac:dyDescent="0.2">
      <c r="B17" s="6"/>
      <c r="C17" s="47"/>
      <c r="D17" s="48"/>
      <c r="E17" s="47"/>
      <c r="F17" s="48"/>
      <c r="G17" s="47"/>
      <c r="H17" s="48"/>
      <c r="I17" s="58"/>
      <c r="J17" s="59"/>
      <c r="K17" s="83"/>
      <c r="L17" s="17">
        <v>1</v>
      </c>
      <c r="M17" s="41" t="s">
        <v>35</v>
      </c>
      <c r="N17" s="42"/>
    </row>
    <row r="18" spans="2:14" ht="18" customHeight="1" x14ac:dyDescent="0.2">
      <c r="B18" s="9"/>
      <c r="C18" s="63"/>
      <c r="D18" s="64"/>
      <c r="E18" s="63"/>
      <c r="F18" s="64"/>
      <c r="G18" s="63"/>
      <c r="H18" s="64"/>
      <c r="I18" s="63"/>
      <c r="J18" s="67"/>
      <c r="K18" s="83"/>
      <c r="L18" s="17">
        <v>8</v>
      </c>
      <c r="M18" s="41" t="s">
        <v>42</v>
      </c>
      <c r="N18" s="42"/>
    </row>
    <row r="19" spans="2:14" ht="18" customHeight="1" x14ac:dyDescent="0.2">
      <c r="B19" s="6"/>
      <c r="C19" s="47"/>
      <c r="D19" s="48"/>
      <c r="E19" s="47"/>
      <c r="F19" s="48"/>
      <c r="G19" s="47"/>
      <c r="H19" s="48"/>
      <c r="I19" s="58"/>
      <c r="J19" s="59"/>
      <c r="K19" s="11"/>
      <c r="L19" s="17">
        <v>15</v>
      </c>
      <c r="M19" s="41" t="s">
        <v>43</v>
      </c>
      <c r="N19" s="42"/>
    </row>
    <row r="20" spans="2:14" ht="18" customHeight="1" x14ac:dyDescent="0.2">
      <c r="B20" s="8"/>
      <c r="C20" s="45"/>
      <c r="D20" s="46"/>
      <c r="E20" s="45"/>
      <c r="F20" s="46"/>
      <c r="G20" s="45"/>
      <c r="H20" s="46"/>
      <c r="I20" s="45"/>
      <c r="J20" s="60"/>
      <c r="K20" s="11"/>
      <c r="L20" s="17">
        <v>22</v>
      </c>
      <c r="M20" s="41" t="s">
        <v>50</v>
      </c>
      <c r="N20" s="42"/>
    </row>
    <row r="21" spans="2:14" ht="18" customHeight="1" x14ac:dyDescent="0.2">
      <c r="B21" s="6"/>
      <c r="C21" s="47"/>
      <c r="D21" s="48"/>
      <c r="E21" s="47"/>
      <c r="F21" s="48"/>
      <c r="G21" s="47"/>
      <c r="H21" s="48"/>
      <c r="I21" s="61"/>
      <c r="J21" s="62"/>
      <c r="K21" s="13"/>
      <c r="L21" s="19">
        <v>29</v>
      </c>
      <c r="M21" s="41" t="s">
        <v>50</v>
      </c>
      <c r="N21" s="42"/>
    </row>
    <row r="22" spans="2:14" ht="18" customHeight="1" x14ac:dyDescent="0.2">
      <c r="B22" s="8"/>
      <c r="C22" s="45"/>
      <c r="D22" s="46"/>
      <c r="E22" s="45"/>
      <c r="F22" s="46"/>
      <c r="G22" s="45"/>
      <c r="H22" s="46"/>
      <c r="I22" s="45"/>
      <c r="J22" s="60"/>
      <c r="K22" s="82" t="s">
        <v>14</v>
      </c>
      <c r="L22" s="16"/>
    </row>
    <row r="23" spans="2:14" ht="18" customHeight="1" x14ac:dyDescent="0.2">
      <c r="B23" s="6"/>
      <c r="C23" s="47"/>
      <c r="D23" s="48"/>
      <c r="E23" s="47"/>
      <c r="F23" s="48"/>
      <c r="G23" s="47"/>
      <c r="H23" s="48"/>
      <c r="I23" s="58"/>
      <c r="J23" s="59"/>
      <c r="K23" s="83"/>
      <c r="L23" s="17">
        <v>2</v>
      </c>
      <c r="M23" s="41" t="s">
        <v>33</v>
      </c>
      <c r="N23" s="42"/>
    </row>
    <row r="24" spans="2:14" ht="18" customHeight="1" x14ac:dyDescent="0.2">
      <c r="B24" s="8"/>
      <c r="C24" s="45"/>
      <c r="D24" s="46"/>
      <c r="E24" s="45"/>
      <c r="F24" s="46"/>
      <c r="G24" s="45"/>
      <c r="H24" s="46"/>
      <c r="I24" s="45"/>
      <c r="J24" s="60"/>
      <c r="K24" s="83"/>
      <c r="L24" s="17">
        <v>9</v>
      </c>
      <c r="M24" s="41" t="s">
        <v>27</v>
      </c>
      <c r="N24" s="42"/>
    </row>
    <row r="25" spans="2:14" ht="18" customHeight="1" x14ac:dyDescent="0.2">
      <c r="B25" s="6"/>
      <c r="C25" s="47"/>
      <c r="D25" s="48"/>
      <c r="E25" s="47"/>
      <c r="F25" s="48"/>
      <c r="G25" s="47"/>
      <c r="H25" s="48"/>
      <c r="I25" s="58"/>
      <c r="J25" s="59"/>
      <c r="K25" s="83"/>
      <c r="L25" s="17">
        <v>16</v>
      </c>
      <c r="M25" s="41" t="s">
        <v>34</v>
      </c>
      <c r="N25" s="42"/>
    </row>
    <row r="26" spans="2:14" ht="18" customHeight="1" x14ac:dyDescent="0.2">
      <c r="B26" s="8"/>
      <c r="C26" s="45"/>
      <c r="D26" s="46"/>
      <c r="E26" s="45"/>
      <c r="F26" s="46"/>
      <c r="G26" s="45"/>
      <c r="H26" s="46"/>
      <c r="I26" s="45"/>
      <c r="J26" s="60"/>
      <c r="K26" s="11"/>
      <c r="L26" s="17">
        <v>23</v>
      </c>
      <c r="M26" s="41" t="s">
        <v>50</v>
      </c>
      <c r="N26" s="42"/>
    </row>
    <row r="27" spans="2:14" ht="18" customHeight="1" x14ac:dyDescent="0.2">
      <c r="B27" s="6"/>
      <c r="C27" s="47"/>
      <c r="D27" s="48"/>
      <c r="E27" s="47"/>
      <c r="F27" s="48"/>
      <c r="G27" s="47"/>
      <c r="H27" s="48"/>
      <c r="I27" s="58"/>
      <c r="J27" s="59"/>
      <c r="K27" s="13"/>
      <c r="L27" s="19">
        <v>30</v>
      </c>
      <c r="M27" s="41" t="s">
        <v>50</v>
      </c>
      <c r="N27" s="42"/>
    </row>
    <row r="28" spans="2:14" ht="18" customHeight="1" x14ac:dyDescent="0.2">
      <c r="B28" s="8"/>
      <c r="C28" s="45"/>
      <c r="D28" s="46"/>
      <c r="E28" s="45"/>
      <c r="F28" s="46"/>
      <c r="G28" s="45"/>
      <c r="H28" s="46"/>
      <c r="I28" s="45"/>
      <c r="J28" s="60"/>
      <c r="K28" s="80" t="s">
        <v>15</v>
      </c>
      <c r="L28" s="16"/>
      <c r="M28" s="100"/>
      <c r="N28" s="101"/>
    </row>
    <row r="29" spans="2:14" ht="18" customHeight="1" x14ac:dyDescent="0.2">
      <c r="B29" s="6"/>
      <c r="C29" s="47"/>
      <c r="D29" s="48"/>
      <c r="E29" s="47"/>
      <c r="F29" s="48"/>
      <c r="G29" s="47"/>
      <c r="H29" s="48"/>
      <c r="I29" s="47"/>
      <c r="J29" s="53"/>
      <c r="K29" s="81"/>
      <c r="L29" s="17">
        <v>3</v>
      </c>
      <c r="M29" s="41" t="s">
        <v>38</v>
      </c>
      <c r="N29" s="42"/>
    </row>
    <row r="30" spans="2:14" ht="18" customHeight="1" x14ac:dyDescent="0.2">
      <c r="B30" s="8"/>
      <c r="C30" s="45"/>
      <c r="D30" s="46"/>
      <c r="E30" s="45"/>
      <c r="F30" s="46"/>
      <c r="G30" s="45"/>
      <c r="H30" s="46"/>
      <c r="I30" s="51"/>
      <c r="J30" s="52"/>
      <c r="K30" s="81"/>
      <c r="L30" s="17">
        <v>10</v>
      </c>
      <c r="M30" s="41" t="s">
        <v>26</v>
      </c>
      <c r="N30" s="42"/>
    </row>
    <row r="31" spans="2:14" ht="18" customHeight="1" x14ac:dyDescent="0.2">
      <c r="B31" s="6"/>
      <c r="C31" s="47"/>
      <c r="D31" s="48"/>
      <c r="E31" s="47"/>
      <c r="F31" s="48"/>
      <c r="G31" s="47"/>
      <c r="H31" s="48"/>
      <c r="I31" s="47"/>
      <c r="J31" s="53"/>
      <c r="K31" s="14"/>
      <c r="L31" s="17">
        <v>17</v>
      </c>
      <c r="M31" s="41" t="s">
        <v>39</v>
      </c>
      <c r="N31" s="42"/>
    </row>
    <row r="32" spans="2:14" ht="18" customHeight="1" x14ac:dyDescent="0.2">
      <c r="B32" s="8"/>
      <c r="C32" s="45"/>
      <c r="D32" s="46"/>
      <c r="E32" s="45"/>
      <c r="F32" s="46"/>
      <c r="G32" s="45"/>
      <c r="H32" s="46"/>
      <c r="I32" s="54"/>
      <c r="J32" s="55"/>
      <c r="K32" s="14"/>
      <c r="L32" s="17">
        <v>24</v>
      </c>
      <c r="M32" s="41" t="s">
        <v>50</v>
      </c>
      <c r="N32" s="42"/>
    </row>
    <row r="33" spans="2:14" ht="18" customHeight="1" x14ac:dyDescent="0.2">
      <c r="B33" s="7"/>
      <c r="C33" s="49"/>
      <c r="D33" s="50"/>
      <c r="E33" s="49"/>
      <c r="F33" s="50"/>
      <c r="G33" s="49"/>
      <c r="H33" s="50"/>
      <c r="I33" s="56"/>
      <c r="J33" s="57"/>
      <c r="K33" s="15"/>
      <c r="L33" s="20"/>
      <c r="M33" s="43"/>
      <c r="N33" s="44"/>
    </row>
  </sheetData>
  <mergeCells count="12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C27:D27"/>
    <mergeCell ref="E27:F27"/>
    <mergeCell ref="G27:H27"/>
    <mergeCell ref="I27:J27"/>
    <mergeCell ref="M27:N27"/>
    <mergeCell ref="M26:N26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37</vt:i4>
      </vt:variant>
    </vt:vector>
  </HeadingPairs>
  <TitlesOfParts>
    <vt:vector size="4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Secretaria</cp:lastModifiedBy>
  <cp:lastPrinted>2021-09-27T15:09:55Z</cp:lastPrinted>
  <dcterms:created xsi:type="dcterms:W3CDTF">2018-12-11T15:48:28Z</dcterms:created>
  <dcterms:modified xsi:type="dcterms:W3CDTF">2021-09-27T16:52:34Z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